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Stuff\@NDSU transfer current\"/>
    </mc:Choice>
  </mc:AlternateContent>
  <xr:revisionPtr revIDLastSave="0" documentId="13_ncr:1_{7117CBA0-02A5-4390-AF01-85A54EB73278}" xr6:coauthVersionLast="36" xr6:coauthVersionMax="36" xr10:uidLastSave="{00000000-0000-0000-0000-000000000000}"/>
  <bookViews>
    <workbookView xWindow="0" yWindow="0" windowWidth="28800" windowHeight="12225" xr2:uid="{CC569CD7-BDF4-4337-AB00-1CFDE88EC49F}"/>
  </bookViews>
  <sheets>
    <sheet name="SilageValue" sheetId="4" r:id="rId1"/>
    <sheet name="PriceSlides" sheetId="3" r:id="rId2"/>
    <sheet name="EstimatedYield" sheetId="5" r:id="rId3"/>
    <sheet name="Calculations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C43" i="3"/>
  <c r="C44" i="3" s="1"/>
  <c r="C45" i="3" s="1"/>
  <c r="C46" i="3" s="1"/>
  <c r="C47" i="3" s="1"/>
  <c r="C48" i="3" s="1"/>
  <c r="C49" i="3" s="1"/>
  <c r="C50" i="3" s="1"/>
  <c r="C51" i="3" s="1"/>
  <c r="C29" i="3"/>
  <c r="C30" i="3" s="1"/>
  <c r="C31" i="3" s="1"/>
  <c r="D42" i="3"/>
  <c r="D28" i="3"/>
  <c r="C15" i="3"/>
  <c r="E14" i="3" l="1"/>
  <c r="F14" i="3" s="1"/>
  <c r="G14" i="3" s="1"/>
  <c r="H14" i="3" s="1"/>
  <c r="I14" i="3" s="1"/>
  <c r="J14" i="3" s="1"/>
  <c r="K14" i="3" s="1"/>
  <c r="L14" i="3" s="1"/>
  <c r="M14" i="3" s="1"/>
  <c r="N14" i="3" s="1"/>
  <c r="C16" i="3"/>
  <c r="C17" i="3" s="1"/>
  <c r="C18" i="3" s="1"/>
  <c r="C19" i="3" s="1"/>
  <c r="C20" i="3" s="1"/>
  <c r="C21" i="3" s="1"/>
  <c r="C22" i="3" s="1"/>
  <c r="C23" i="3" s="1"/>
  <c r="E42" i="3"/>
  <c r="F42" i="3" s="1"/>
  <c r="G42" i="3" s="1"/>
  <c r="H42" i="3" s="1"/>
  <c r="I42" i="3" s="1"/>
  <c r="J42" i="3" s="1"/>
  <c r="K42" i="3" s="1"/>
  <c r="L42" i="3" s="1"/>
  <c r="M42" i="3" s="1"/>
  <c r="N42" i="3" s="1"/>
  <c r="E28" i="3"/>
  <c r="F28" i="3" s="1"/>
  <c r="C32" i="3"/>
  <c r="D19" i="5"/>
  <c r="D24" i="5" s="1"/>
  <c r="D27" i="5" s="1"/>
  <c r="S7" i="5"/>
  <c r="D7" i="5" s="1"/>
  <c r="D12" i="5"/>
  <c r="D14" i="5" s="1"/>
  <c r="D28" i="5" l="1"/>
  <c r="D30" i="5" s="1"/>
  <c r="C33" i="3"/>
  <c r="C34" i="3" s="1"/>
  <c r="G28" i="3"/>
  <c r="H28" i="3" s="1"/>
  <c r="C35" i="3" l="1"/>
  <c r="I28" i="3"/>
  <c r="B8" i="1"/>
  <c r="C36" i="3" l="1"/>
  <c r="J28" i="3"/>
  <c r="L37" i="4"/>
  <c r="L29" i="4"/>
  <c r="L21" i="4"/>
  <c r="L33" i="4"/>
  <c r="L25" i="4"/>
  <c r="L17" i="4"/>
  <c r="B13" i="1"/>
  <c r="F11" i="1"/>
  <c r="D13" i="1" s="1"/>
  <c r="F6" i="1"/>
  <c r="D8" i="1" s="1"/>
  <c r="Y28" i="3" s="1"/>
  <c r="F13" i="1" l="1"/>
  <c r="F38" i="1" s="1"/>
  <c r="H38" i="1" s="1"/>
  <c r="S15" i="3"/>
  <c r="I15" i="3" s="1"/>
  <c r="S46" i="3"/>
  <c r="I46" i="3" s="1"/>
  <c r="S51" i="3"/>
  <c r="S44" i="3"/>
  <c r="I44" i="3" s="1"/>
  <c r="S31" i="3"/>
  <c r="I31" i="3" s="1"/>
  <c r="S45" i="3"/>
  <c r="I45" i="3" s="1"/>
  <c r="S49" i="3"/>
  <c r="I49" i="3" s="1"/>
  <c r="S50" i="3"/>
  <c r="I50" i="3" s="1"/>
  <c r="S30" i="3"/>
  <c r="I30" i="3" s="1"/>
  <c r="S29" i="3"/>
  <c r="I29" i="3" s="1"/>
  <c r="S47" i="3"/>
  <c r="S48" i="3"/>
  <c r="I48" i="3" s="1"/>
  <c r="S43" i="3"/>
  <c r="I43" i="3" s="1"/>
  <c r="S23" i="3"/>
  <c r="I23" i="3" s="1"/>
  <c r="S22" i="3"/>
  <c r="I22" i="3" s="1"/>
  <c r="S17" i="3"/>
  <c r="I17" i="3" s="1"/>
  <c r="S32" i="3"/>
  <c r="I32" i="3" s="1"/>
  <c r="S16" i="3"/>
  <c r="I16" i="3" s="1"/>
  <c r="S20" i="3"/>
  <c r="S21" i="3"/>
  <c r="I21" i="3" s="1"/>
  <c r="S18" i="3"/>
  <c r="I18" i="3" s="1"/>
  <c r="S19" i="3"/>
  <c r="I19" i="3" s="1"/>
  <c r="S33" i="3"/>
  <c r="I33" i="3" s="1"/>
  <c r="S34" i="3"/>
  <c r="I34" i="3" s="1"/>
  <c r="S35" i="3"/>
  <c r="T14" i="3"/>
  <c r="T28" i="3"/>
  <c r="U42" i="3"/>
  <c r="Y42" i="3"/>
  <c r="T42" i="3"/>
  <c r="AD42" i="3"/>
  <c r="V28" i="3"/>
  <c r="AC14" i="3"/>
  <c r="X42" i="3"/>
  <c r="AA42" i="3"/>
  <c r="AD14" i="3"/>
  <c r="W14" i="3"/>
  <c r="AB14" i="3"/>
  <c r="W42" i="3"/>
  <c r="U14" i="3"/>
  <c r="Y14" i="3"/>
  <c r="AB42" i="3"/>
  <c r="V14" i="3"/>
  <c r="V42" i="3"/>
  <c r="U28" i="3"/>
  <c r="AA14" i="3"/>
  <c r="AC42" i="3"/>
  <c r="X14" i="3"/>
  <c r="Z42" i="3"/>
  <c r="Z14" i="3"/>
  <c r="X28" i="3"/>
  <c r="W28" i="3"/>
  <c r="F8" i="1"/>
  <c r="F29" i="1" s="1"/>
  <c r="H29" i="1" s="1"/>
  <c r="I47" i="3"/>
  <c r="I51" i="3"/>
  <c r="I20" i="3"/>
  <c r="Z28" i="3"/>
  <c r="K28" i="3"/>
  <c r="C37" i="3"/>
  <c r="S37" i="3" s="1"/>
  <c r="I37" i="3" s="1"/>
  <c r="S36" i="3"/>
  <c r="I36" i="3" s="1"/>
  <c r="F37" i="1" l="1"/>
  <c r="H37" i="1" s="1"/>
  <c r="H35" i="3"/>
  <c r="I35" i="3"/>
  <c r="F35" i="3"/>
  <c r="D35" i="3"/>
  <c r="E35" i="3"/>
  <c r="G35" i="3"/>
  <c r="F20" i="1"/>
  <c r="H20" i="1" s="1"/>
  <c r="F30" i="1"/>
  <c r="H30" i="1" s="1"/>
  <c r="H32" i="1" s="1"/>
  <c r="C27" i="4" s="1"/>
  <c r="H13" i="1"/>
  <c r="H40" i="1"/>
  <c r="C35" i="4" s="1"/>
  <c r="F19" i="1"/>
  <c r="H19" i="1" s="1"/>
  <c r="H8" i="1"/>
  <c r="F44" i="3"/>
  <c r="F21" i="3"/>
  <c r="F15" i="3"/>
  <c r="F23" i="3"/>
  <c r="F48" i="3"/>
  <c r="F29" i="3"/>
  <c r="F45" i="3"/>
  <c r="F32" i="3"/>
  <c r="F46" i="3"/>
  <c r="F49" i="3"/>
  <c r="F31" i="3"/>
  <c r="F30" i="3"/>
  <c r="F50" i="3"/>
  <c r="F20" i="3"/>
  <c r="F43" i="3"/>
  <c r="F17" i="3"/>
  <c r="F47" i="3"/>
  <c r="F51" i="3"/>
  <c r="F18" i="3"/>
  <c r="F22" i="3"/>
  <c r="F16" i="3"/>
  <c r="F19" i="3"/>
  <c r="F33" i="3"/>
  <c r="F34" i="3"/>
  <c r="E15" i="3"/>
  <c r="E50" i="3"/>
  <c r="E32" i="3"/>
  <c r="E48" i="3"/>
  <c r="E20" i="3"/>
  <c r="E23" i="3"/>
  <c r="E45" i="3"/>
  <c r="E21" i="3"/>
  <c r="E31" i="3"/>
  <c r="E49" i="3"/>
  <c r="E29" i="3"/>
  <c r="E43" i="3"/>
  <c r="E30" i="3"/>
  <c r="E47" i="3"/>
  <c r="E46" i="3"/>
  <c r="E51" i="3"/>
  <c r="E44" i="3"/>
  <c r="E19" i="3"/>
  <c r="E22" i="3"/>
  <c r="E16" i="3"/>
  <c r="E18" i="3"/>
  <c r="E17" i="3"/>
  <c r="E34" i="3"/>
  <c r="E33" i="3"/>
  <c r="G45" i="3"/>
  <c r="G18" i="3"/>
  <c r="G31" i="3"/>
  <c r="G33" i="3"/>
  <c r="G17" i="3"/>
  <c r="G15" i="3"/>
  <c r="G47" i="3"/>
  <c r="G44" i="3"/>
  <c r="G22" i="3"/>
  <c r="G21" i="3"/>
  <c r="G30" i="3"/>
  <c r="G43" i="3"/>
  <c r="G48" i="3"/>
  <c r="G20" i="3"/>
  <c r="G51" i="3"/>
  <c r="G34" i="3"/>
  <c r="G16" i="3"/>
  <c r="G46" i="3"/>
  <c r="G29" i="3"/>
  <c r="G32" i="3"/>
  <c r="G23" i="3"/>
  <c r="G50" i="3"/>
  <c r="G49" i="3"/>
  <c r="G19" i="3"/>
  <c r="H44" i="3"/>
  <c r="H30" i="3"/>
  <c r="H16" i="3"/>
  <c r="H45" i="3"/>
  <c r="H48" i="3"/>
  <c r="H34" i="3"/>
  <c r="H20" i="3"/>
  <c r="H49" i="3"/>
  <c r="H29" i="3"/>
  <c r="H32" i="3"/>
  <c r="H46" i="3"/>
  <c r="H17" i="3"/>
  <c r="H21" i="3"/>
  <c r="H51" i="3"/>
  <c r="H50" i="3"/>
  <c r="H15" i="3"/>
  <c r="H33" i="3"/>
  <c r="H43" i="3"/>
  <c r="H19" i="3"/>
  <c r="H22" i="3"/>
  <c r="H47" i="3"/>
  <c r="H18" i="3"/>
  <c r="H23" i="3"/>
  <c r="H31" i="3"/>
  <c r="D51" i="3"/>
  <c r="D15" i="3"/>
  <c r="D43" i="3"/>
  <c r="D50" i="3"/>
  <c r="D32" i="3"/>
  <c r="D44" i="3"/>
  <c r="D46" i="3"/>
  <c r="D45" i="3"/>
  <c r="D48" i="3"/>
  <c r="D29" i="3"/>
  <c r="D49" i="3"/>
  <c r="D31" i="3"/>
  <c r="D17" i="3"/>
  <c r="D47" i="3"/>
  <c r="D23" i="3"/>
  <c r="D30" i="3"/>
  <c r="D22" i="3"/>
  <c r="D19" i="3"/>
  <c r="D21" i="3"/>
  <c r="D18" i="3"/>
  <c r="D20" i="3"/>
  <c r="D16" i="3"/>
  <c r="D34" i="3"/>
  <c r="D33" i="3"/>
  <c r="J44" i="3"/>
  <c r="J48" i="3"/>
  <c r="J45" i="3"/>
  <c r="J49" i="3"/>
  <c r="J46" i="3"/>
  <c r="J50" i="3"/>
  <c r="J47" i="3"/>
  <c r="J51" i="3"/>
  <c r="J43" i="3"/>
  <c r="J16" i="3"/>
  <c r="J17" i="3"/>
  <c r="J21" i="3"/>
  <c r="J29" i="3"/>
  <c r="J33" i="3"/>
  <c r="J37" i="3"/>
  <c r="J36" i="3"/>
  <c r="J20" i="3"/>
  <c r="J32" i="3"/>
  <c r="J18" i="3"/>
  <c r="J22" i="3"/>
  <c r="J30" i="3"/>
  <c r="J34" i="3"/>
  <c r="J15" i="3"/>
  <c r="J19" i="3"/>
  <c r="J23" i="3"/>
  <c r="J31" i="3"/>
  <c r="J35" i="3"/>
  <c r="E36" i="3"/>
  <c r="D36" i="3"/>
  <c r="F36" i="3"/>
  <c r="G36" i="3"/>
  <c r="H36" i="3"/>
  <c r="D37" i="3"/>
  <c r="E37" i="3"/>
  <c r="F37" i="3"/>
  <c r="H37" i="3"/>
  <c r="G37" i="3"/>
  <c r="L28" i="3"/>
  <c r="AA28" i="3"/>
  <c r="H22" i="1" l="1"/>
  <c r="C19" i="4" s="1"/>
  <c r="H20" i="4" s="1"/>
  <c r="H22" i="4" s="1"/>
  <c r="K45" i="3"/>
  <c r="K44" i="3"/>
  <c r="K48" i="3"/>
  <c r="K49" i="3"/>
  <c r="K47" i="3"/>
  <c r="K43" i="3"/>
  <c r="K51" i="3"/>
  <c r="K46" i="3"/>
  <c r="K50" i="3"/>
  <c r="K16" i="3"/>
  <c r="K20" i="3"/>
  <c r="K32" i="3"/>
  <c r="K36" i="3"/>
  <c r="K17" i="3"/>
  <c r="K21" i="3"/>
  <c r="K29" i="3"/>
  <c r="K33" i="3"/>
  <c r="K37" i="3"/>
  <c r="K15" i="3"/>
  <c r="K23" i="3"/>
  <c r="K31" i="3"/>
  <c r="K19" i="3"/>
  <c r="K18" i="3"/>
  <c r="K22" i="3"/>
  <c r="K30" i="3"/>
  <c r="K34" i="3"/>
  <c r="K35" i="3"/>
  <c r="M28" i="3"/>
  <c r="AB28" i="3"/>
  <c r="J36" i="4"/>
  <c r="J38" i="4" s="1"/>
  <c r="D36" i="4"/>
  <c r="D38" i="4" s="1"/>
  <c r="D28" i="4"/>
  <c r="D30" i="4" s="1"/>
  <c r="J28" i="4"/>
  <c r="J30" i="4" s="1"/>
  <c r="H28" i="4"/>
  <c r="H30" i="4" s="1"/>
  <c r="L28" i="4"/>
  <c r="L30" i="4" s="1"/>
  <c r="F28" i="4"/>
  <c r="F30" i="4" s="1"/>
  <c r="H36" i="4"/>
  <c r="H38" i="4" s="1"/>
  <c r="F36" i="4"/>
  <c r="F38" i="4" s="1"/>
  <c r="L36" i="4"/>
  <c r="L38" i="4" s="1"/>
  <c r="D20" i="4" l="1"/>
  <c r="D22" i="4" s="1"/>
  <c r="L20" i="4"/>
  <c r="L22" i="4" s="1"/>
  <c r="J20" i="4"/>
  <c r="J22" i="4" s="1"/>
  <c r="F20" i="4"/>
  <c r="F22" i="4" s="1"/>
  <c r="L43" i="3"/>
  <c r="L47" i="3"/>
  <c r="L51" i="3"/>
  <c r="L44" i="3"/>
  <c r="L48" i="3"/>
  <c r="L45" i="3"/>
  <c r="L49" i="3"/>
  <c r="L46" i="3"/>
  <c r="L50" i="3"/>
  <c r="L16" i="3"/>
  <c r="L20" i="3"/>
  <c r="L32" i="3"/>
  <c r="L36" i="3"/>
  <c r="L19" i="3"/>
  <c r="L23" i="3"/>
  <c r="L17" i="3"/>
  <c r="L21" i="3"/>
  <c r="L29" i="3"/>
  <c r="L33" i="3"/>
  <c r="L37" i="3"/>
  <c r="L35" i="3"/>
  <c r="L18" i="3"/>
  <c r="L22" i="3"/>
  <c r="L30" i="3"/>
  <c r="L34" i="3"/>
  <c r="L15" i="3"/>
  <c r="L31" i="3"/>
  <c r="N28" i="3"/>
  <c r="AD28" i="3" s="1"/>
  <c r="AC28" i="3"/>
  <c r="M43" i="3" l="1"/>
  <c r="M47" i="3"/>
  <c r="M51" i="3"/>
  <c r="M48" i="3"/>
  <c r="M46" i="3"/>
  <c r="M50" i="3"/>
  <c r="M44" i="3"/>
  <c r="M45" i="3"/>
  <c r="M49" i="3"/>
  <c r="N46" i="3"/>
  <c r="N50" i="3"/>
  <c r="N43" i="3"/>
  <c r="N47" i="3"/>
  <c r="N51" i="3"/>
  <c r="N44" i="3"/>
  <c r="N48" i="3"/>
  <c r="N49" i="3"/>
  <c r="N45" i="3"/>
  <c r="M15" i="3"/>
  <c r="M19" i="3"/>
  <c r="M23" i="3"/>
  <c r="M31" i="3"/>
  <c r="M35" i="3"/>
  <c r="M16" i="3"/>
  <c r="M20" i="3"/>
  <c r="M32" i="3"/>
  <c r="M36" i="3"/>
  <c r="M22" i="3"/>
  <c r="M17" i="3"/>
  <c r="M21" i="3"/>
  <c r="M29" i="3"/>
  <c r="M33" i="3"/>
  <c r="M37" i="3"/>
  <c r="M30" i="3"/>
  <c r="M34" i="3"/>
  <c r="M18" i="3"/>
  <c r="N15" i="3"/>
  <c r="N19" i="3"/>
  <c r="N23" i="3"/>
  <c r="N31" i="3"/>
  <c r="N35" i="3"/>
  <c r="N34" i="3"/>
  <c r="N16" i="3"/>
  <c r="N20" i="3"/>
  <c r="N32" i="3"/>
  <c r="N36" i="3"/>
  <c r="N30" i="3"/>
  <c r="N17" i="3"/>
  <c r="N21" i="3"/>
  <c r="N29" i="3"/>
  <c r="N33" i="3"/>
  <c r="N37" i="3"/>
  <c r="N18" i="3"/>
  <c r="N22" i="3"/>
</calcChain>
</file>

<file path=xl/sharedStrings.xml><?xml version="1.0" encoding="utf-8"?>
<sst xmlns="http://schemas.openxmlformats.org/spreadsheetml/2006/main" count="159" uniqueCount="93">
  <si>
    <t xml:space="preserve">   Corn </t>
  </si>
  <si>
    <t>lbs. corn equivalent</t>
  </si>
  <si>
    <t>x</t>
  </si>
  <si>
    <t>=</t>
  </si>
  <si>
    <t>lbs. hay equivalent</t>
  </si>
  <si>
    <t>lbs. water</t>
  </si>
  <si>
    <t>lbs.</t>
  </si>
  <si>
    <t>per ton of immature, drought-stressed corn silage</t>
  </si>
  <si>
    <t>containing 35 percent dry matter</t>
  </si>
  <si>
    <t>Very immature corn with no grain content would be valued based on hay equivalent value only.</t>
  </si>
  <si>
    <t>per ton of corn silage with 0 percent grain content</t>
  </si>
  <si>
    <t>Mature Corn – 50% Grain DM Content</t>
  </si>
  <si>
    <t>Example 1</t>
  </si>
  <si>
    <t>Example 2</t>
  </si>
  <si>
    <t>Example 3</t>
  </si>
  <si>
    <t>Example 4</t>
  </si>
  <si>
    <t>Percent dry matter</t>
  </si>
  <si>
    <t>Value per acre of standing corn for silage</t>
  </si>
  <si>
    <t>Immature Corn – 25% Grain DM Content</t>
  </si>
  <si>
    <t>Immature Corn – 0 % Grain DM Content</t>
  </si>
  <si>
    <t>Corn silage is primarily an energy feed. The dry-matter value of silage can be compared with the local value of shelled corn and grass hay.</t>
  </si>
  <si>
    <t>Good-quality corn silage typically will average 50 percent corn grain by dry-matter weight.</t>
  </si>
  <si>
    <t>Silage Decision Tool</t>
  </si>
  <si>
    <t>or</t>
  </si>
  <si>
    <t xml:space="preserve">   Hay </t>
  </si>
  <si>
    <r>
      <rPr>
        <sz val="11"/>
        <color theme="1"/>
        <rFont val="Calibri"/>
        <family val="2"/>
      </rPr>
      <t>÷</t>
    </r>
  </si>
  <si>
    <t>÷</t>
  </si>
  <si>
    <t>Mature, high-yielding grain corn should contain 50 percent grain by dry-matter weight.</t>
  </si>
  <si>
    <t xml:space="preserve">  per ton of silage containing 35 percent dry matter</t>
  </si>
  <si>
    <t xml:space="preserve">If silage contains 35 percent dry matter, there are 700 pounds of dry matter per ton, or the equivalent of 350 pounds of shelled corn and 350 pounds of grass hay. </t>
  </si>
  <si>
    <t xml:space="preserve">The above example is typical of good-quality mature corn made into silage. </t>
  </si>
  <si>
    <t xml:space="preserve">However, immature (early frost) or drought-impacted corn salvaged for silage contains much less grain relative to stalk and leaf material. </t>
  </si>
  <si>
    <t>Corn in the hard dough stage may be only 25 percent grain by dry-matter weight. In that case, the value would be computed as follows:</t>
  </si>
  <si>
    <t>Calculations Page</t>
  </si>
  <si>
    <t>corn price:</t>
  </si>
  <si>
    <t>hay price:</t>
  </si>
  <si>
    <t>INPUTS</t>
  </si>
  <si>
    <t>Price of corn per bushel:</t>
  </si>
  <si>
    <t>Price of hay per ton:</t>
  </si>
  <si>
    <r>
      <t>Less custom cost of chopping and hauling per acre</t>
    </r>
    <r>
      <rPr>
        <vertAlign val="superscript"/>
        <sz val="11"/>
        <color theme="1"/>
        <rFont val="Calibri"/>
        <family val="2"/>
        <scheme val="minor"/>
      </rPr>
      <t>3</t>
    </r>
  </si>
  <si>
    <t>Your Figures</t>
  </si>
  <si>
    <t>Custom cost of chopping and hauling per acre:</t>
  </si>
  <si>
    <r>
      <t>Value of silage per acre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</si>
  <si>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  cents per lb. of dry matter</t>
  </si>
  <si>
    <r>
      <t>The most frequent custom rate charged for field chopping and hauling was</t>
    </r>
    <r>
      <rPr>
        <b/>
        <sz val="11"/>
        <color theme="1"/>
        <rFont val="Calibri"/>
        <family val="2"/>
        <scheme val="minor"/>
      </rPr>
      <t xml:space="preserve"> $100.00 </t>
    </r>
    <r>
      <rPr>
        <sz val="11"/>
        <color theme="1"/>
        <rFont val="Calibri"/>
        <family val="2"/>
        <scheme val="minor"/>
      </rPr>
      <t>per acre. We assume the rate would vary somewhat at different yields.</t>
    </r>
  </si>
  <si>
    <t>Designed by Zach Carlson and Ron Haugen, NDSU Extension</t>
  </si>
  <si>
    <t>lbs.  x</t>
  </si>
  <si>
    <t>Length of row to measure in feet &amp; inches:</t>
  </si>
  <si>
    <t>Method 1.</t>
  </si>
  <si>
    <t>Enter row spacing in inches:</t>
  </si>
  <si>
    <t>a.</t>
  </si>
  <si>
    <t>b.</t>
  </si>
  <si>
    <t>Estimated wet weight per acre</t>
  </si>
  <si>
    <t>Method 2.</t>
  </si>
  <si>
    <t>Average the number of rows per ear:</t>
  </si>
  <si>
    <t>Average number of kernels per row on ear:</t>
  </si>
  <si>
    <r>
      <t>Estimate of yield per acre in wet tons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</si>
  <si>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lbs. dry matter per bushel</t>
  </si>
  <si>
    <t xml:space="preserve">  lbs. dry matter per ton</t>
  </si>
  <si>
    <t>Estimated Wet Yield of Standing Corn Crop</t>
  </si>
  <si>
    <t>Count the number of ears within the calculated length above (cell D7):</t>
  </si>
  <si>
    <t>Number of ears per acre:</t>
  </si>
  <si>
    <t>Number of kernels per acre:</t>
  </si>
  <si>
    <t>Estimated kernals per bushel:</t>
  </si>
  <si>
    <t>Calculated bushels per acre:</t>
  </si>
  <si>
    <t>Estimated wet tons per acre:</t>
  </si>
  <si>
    <t>Estimated bushels per wet ton of silage:</t>
  </si>
  <si>
    <t>Estimate of yield per acre in wet tons:</t>
  </si>
  <si>
    <t>Value of silage per ton (calculations in tab 'Calculations')</t>
  </si>
  <si>
    <t>Corn price ($/bushel)</t>
  </si>
  <si>
    <t>Hay Price ($/ton)</t>
  </si>
  <si>
    <t>Price Slide Tables</t>
  </si>
  <si>
    <t>Immature Corn – 0% Grain DM Content</t>
  </si>
  <si>
    <t>Lowest Price of Corn ($/bushel) you want to look at:</t>
  </si>
  <si>
    <t>Lowest Price of Hay ($/ton) you want to look at:</t>
  </si>
  <si>
    <t>Corn Moisture at Harvest:</t>
  </si>
  <si>
    <t>The following formulas may be used to estimate the wet yield of a standing corn crop:</t>
  </si>
  <si>
    <t>Note calculated values within tables are $/wet ton of corn silage</t>
  </si>
  <si>
    <r>
      <t xml:space="preserve">Note:  </t>
    </r>
    <r>
      <rPr>
        <i/>
        <sz val="11"/>
        <color theme="1"/>
        <rFont val="Calibri"/>
        <family val="2"/>
        <scheme val="minor"/>
      </rPr>
      <t xml:space="preserve">PriceSlides </t>
    </r>
    <r>
      <rPr>
        <sz val="11"/>
        <color theme="1"/>
        <rFont val="Calibri"/>
        <family val="2"/>
        <scheme val="minor"/>
      </rPr>
      <t>tab for tables adjusting corn silage price ($/wet ton) based on the price of corn and hay.</t>
    </r>
  </si>
  <si>
    <r>
      <t xml:space="preserve">Note: </t>
    </r>
    <r>
      <rPr>
        <i/>
        <sz val="11"/>
        <color theme="1"/>
        <rFont val="Calibri"/>
        <family val="2"/>
        <scheme val="minor"/>
      </rPr>
      <t>Calculations</t>
    </r>
    <r>
      <rPr>
        <sz val="11"/>
        <color theme="1"/>
        <rFont val="Calibri"/>
        <family val="2"/>
        <scheme val="minor"/>
      </rPr>
      <t xml:space="preserve"> tab for detailed calculations.</t>
    </r>
  </si>
  <si>
    <t>Note: NDSU Extension publication EC1343 has additional information on calculations.</t>
  </si>
  <si>
    <r>
      <t xml:space="preserve">Note: </t>
    </r>
    <r>
      <rPr>
        <i/>
        <sz val="11"/>
        <color theme="1"/>
        <rFont val="Calibri"/>
        <family val="2"/>
        <scheme val="minor"/>
      </rPr>
      <t>EstimatedYield</t>
    </r>
    <r>
      <rPr>
        <sz val="11"/>
        <color theme="1"/>
        <rFont val="Calibri"/>
        <family val="2"/>
        <scheme val="minor"/>
      </rPr>
      <t xml:space="preserve"> tab is an optional tab that can be used for estimated yield calculations.</t>
    </r>
  </si>
  <si>
    <t>See 'EstimatedYield' tab for calculating yield per acre.</t>
  </si>
  <si>
    <t>Cut one row at the length listed in cell D7 at normal chopping height and record the wet weigtht (lbs):</t>
  </si>
  <si>
    <t>Select three representative ears at random from the length measured  and count the number of kernel rows and number of kernels per row on each ear</t>
  </si>
  <si>
    <t>Source: Dorn and Rasby. 2008. The use and pricing of drought-stressed corn. G1865</t>
  </si>
  <si>
    <t>Source: Jorgensen and Crowley. 1972. Corn silage for Wisconsin cattle. A1178</t>
  </si>
  <si>
    <t>Source: Carlson, Haugen, and Swenson. 2021. What is the value of a standing corn crop for silage. EC1343</t>
  </si>
  <si>
    <t>- NDSU and its entities makes no warranties, either expressed or implied, concerning this program -</t>
  </si>
  <si>
    <t>Designed by Zac Carlson and Ron Haugen, NDSU Extension</t>
  </si>
  <si>
    <t>INPUT</t>
  </si>
  <si>
    <t>For shelled corn and grass hay, their value per pound of dry matter is computed as follows:</t>
  </si>
  <si>
    <t>Ver. 21-08-06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</si>
</sst>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4">
    <xf numFmtId="0" fontId="0" fillId="0" borderId="0" xfId="0"/>
    <xf numFmtId="8" fontId="0" fillId="0" borderId="0" xfId="0" applyNumberFormat="1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4" fontId="0" fillId="0" borderId="0" xfId="0" applyNumberFormat="1"/>
    <xf numFmtId="0" fontId="5" fillId="0" borderId="0" xfId="0" quotePrefix="1" applyFont="1" applyAlignment="1">
      <alignment horizontal="center"/>
    </xf>
    <xf numFmtId="0" fontId="4" fillId="0" borderId="0" xfId="0" applyFont="1" applyFill="1"/>
    <xf numFmtId="0" fontId="0" fillId="0" borderId="0" xfId="0" applyFont="1"/>
    <xf numFmtId="0" fontId="0" fillId="0" borderId="0" xfId="0" applyFill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1" fontId="0" fillId="3" borderId="0" xfId="0" applyNumberFormat="1" applyFill="1"/>
    <xf numFmtId="0" fontId="0" fillId="3" borderId="0" xfId="0" applyFill="1" applyBorder="1"/>
    <xf numFmtId="164" fontId="0" fillId="3" borderId="0" xfId="0" applyNumberFormat="1" applyFill="1"/>
    <xf numFmtId="164" fontId="0" fillId="3" borderId="2" xfId="0" applyNumberFormat="1" applyFill="1" applyBorder="1"/>
    <xf numFmtId="3" fontId="0" fillId="3" borderId="0" xfId="0" applyNumberFormat="1" applyFill="1"/>
    <xf numFmtId="3" fontId="0" fillId="3" borderId="0" xfId="0" applyNumberFormat="1" applyFill="1" applyBorder="1"/>
    <xf numFmtId="0" fontId="0" fillId="0" borderId="3" xfId="0" applyBorder="1" applyAlignment="1">
      <alignment horizontal="right"/>
    </xf>
    <xf numFmtId="0" fontId="0" fillId="3" borderId="3" xfId="0" applyFill="1" applyBorder="1" applyAlignment="1">
      <alignment horizontal="right"/>
    </xf>
    <xf numFmtId="8" fontId="0" fillId="3" borderId="0" xfId="0" applyNumberFormat="1" applyFill="1"/>
    <xf numFmtId="0" fontId="0" fillId="0" borderId="0" xfId="0" quotePrefix="1" applyFont="1"/>
    <xf numFmtId="164" fontId="0" fillId="3" borderId="0" xfId="0" applyNumberFormat="1" applyFill="1" applyAlignment="1">
      <alignment horizontal="right"/>
    </xf>
    <xf numFmtId="0" fontId="0" fillId="0" borderId="0" xfId="0" applyFill="1" applyBorder="1" applyAlignment="1">
      <alignment horizontal="right"/>
    </xf>
    <xf numFmtId="12" fontId="0" fillId="0" borderId="0" xfId="0" applyNumberFormat="1"/>
    <xf numFmtId="0" fontId="2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0" borderId="0" xfId="0" applyProtection="1">
      <protection hidden="1"/>
    </xf>
    <xf numFmtId="0" fontId="9" fillId="0" borderId="5" xfId="0" applyFon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0" xfId="0" applyBorder="1" applyProtection="1">
      <protection hidden="1"/>
    </xf>
    <xf numFmtId="8" fontId="0" fillId="0" borderId="0" xfId="0" applyNumberFormat="1" applyBorder="1" applyProtection="1">
      <protection hidden="1"/>
    </xf>
    <xf numFmtId="44" fontId="2" fillId="3" borderId="3" xfId="3" applyNumberFormat="1" applyFont="1" applyFill="1" applyBorder="1" applyProtection="1">
      <protection hidden="1"/>
    </xf>
    <xf numFmtId="44" fontId="2" fillId="3" borderId="3" xfId="3" applyFont="1" applyFill="1" applyBorder="1" applyProtection="1">
      <protection hidden="1"/>
    </xf>
    <xf numFmtId="44" fontId="2" fillId="3" borderId="9" xfId="3" applyFont="1" applyFill="1" applyBorder="1" applyProtection="1">
      <protection hidden="1"/>
    </xf>
    <xf numFmtId="44" fontId="0" fillId="0" borderId="0" xfId="0" applyNumberFormat="1" applyProtection="1">
      <protection hidden="1"/>
    </xf>
    <xf numFmtId="44" fontId="2" fillId="3" borderId="4" xfId="3" applyNumberFormat="1" applyFont="1" applyFill="1" applyBorder="1" applyProtection="1">
      <protection hidden="1"/>
    </xf>
    <xf numFmtId="44" fontId="0" fillId="0" borderId="0" xfId="0" applyNumberFormat="1" applyBorder="1" applyProtection="1">
      <protection hidden="1"/>
    </xf>
    <xf numFmtId="44" fontId="0" fillId="0" borderId="4" xfId="0" applyNumberFormat="1" applyBorder="1" applyProtection="1">
      <protection hidden="1"/>
    </xf>
    <xf numFmtId="44" fontId="2" fillId="3" borderId="4" xfId="3" applyFont="1" applyFill="1" applyBorder="1" applyProtection="1">
      <protection hidden="1"/>
    </xf>
    <xf numFmtId="44" fontId="0" fillId="0" borderId="3" xfId="0" applyNumberFormat="1" applyBorder="1" applyProtection="1">
      <protection hidden="1"/>
    </xf>
    <xf numFmtId="44" fontId="0" fillId="0" borderId="9" xfId="0" applyNumberFormat="1" applyBorder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44" fontId="2" fillId="0" borderId="0" xfId="3" applyFont="1" applyFill="1" applyBorder="1" applyProtection="1">
      <protection hidden="1"/>
    </xf>
    <xf numFmtId="164" fontId="1" fillId="2" borderId="1" xfId="1" applyNumberFormat="1" applyProtection="1">
      <protection locked="0"/>
    </xf>
    <xf numFmtId="1" fontId="1" fillId="2" borderId="1" xfId="1" applyNumberFormat="1" applyProtection="1">
      <protection locked="0"/>
    </xf>
    <xf numFmtId="10" fontId="1" fillId="2" borderId="1" xfId="1" applyNumberFormat="1" applyProtection="1">
      <protection locked="0"/>
    </xf>
    <xf numFmtId="44" fontId="1" fillId="2" borderId="1" xfId="1" applyNumberFormat="1" applyProtection="1">
      <protection locked="0"/>
    </xf>
    <xf numFmtId="2" fontId="1" fillId="2" borderId="1" xfId="1" applyNumberFormat="1" applyProtection="1">
      <protection locked="0"/>
    </xf>
    <xf numFmtId="0" fontId="0" fillId="0" borderId="8" xfId="0" applyBorder="1" applyAlignment="1">
      <alignment horizontal="center"/>
    </xf>
    <xf numFmtId="43" fontId="0" fillId="0" borderId="4" xfId="2" applyFont="1" applyBorder="1"/>
    <xf numFmtId="0" fontId="0" fillId="0" borderId="8" xfId="0" applyBorder="1"/>
    <xf numFmtId="0" fontId="0" fillId="0" borderId="0" xfId="0" applyBorder="1"/>
    <xf numFmtId="0" fontId="0" fillId="0" borderId="4" xfId="0" applyBorder="1"/>
    <xf numFmtId="0" fontId="0" fillId="0" borderId="0" xfId="0" applyBorder="1" applyAlignment="1">
      <alignment horizontal="right"/>
    </xf>
    <xf numFmtId="166" fontId="0" fillId="0" borderId="4" xfId="0" applyNumberFormat="1" applyFont="1" applyBorder="1"/>
    <xf numFmtId="0" fontId="0" fillId="0" borderId="4" xfId="0" applyBorder="1" applyAlignment="1">
      <alignment horizontal="right"/>
    </xf>
    <xf numFmtId="166" fontId="2" fillId="3" borderId="4" xfId="0" applyNumberFormat="1" applyFont="1" applyFill="1" applyBorder="1"/>
    <xf numFmtId="0" fontId="2" fillId="3" borderId="4" xfId="0" applyFont="1" applyFill="1" applyBorder="1"/>
    <xf numFmtId="0" fontId="3" fillId="0" borderId="0" xfId="0" applyFont="1"/>
    <xf numFmtId="0" fontId="1" fillId="2" borderId="1" xfId="1" applyNumberFormat="1" applyProtection="1">
      <protection locked="0"/>
    </xf>
    <xf numFmtId="0" fontId="1" fillId="2" borderId="1" xfId="1" applyProtection="1">
      <protection locked="0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</cellXfs>
  <cellStyles count="4">
    <cellStyle name="Comma" xfId="2" builtinId="3"/>
    <cellStyle name="Currency" xfId="3" builtinId="4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D1E8-5B6D-480E-BE10-988A25795407}">
  <dimension ref="A1:L46"/>
  <sheetViews>
    <sheetView tabSelected="1" workbookViewId="0">
      <selection activeCell="F1" sqref="F1"/>
    </sheetView>
  </sheetViews>
  <sheetFormatPr defaultRowHeight="15" x14ac:dyDescent="0.25"/>
  <cols>
    <col min="2" max="2" width="50.5703125" customWidth="1"/>
    <col min="3" max="3" width="12.42578125" customWidth="1"/>
    <col min="4" max="4" width="11.140625" customWidth="1"/>
    <col min="5" max="5" width="3.28515625" customWidth="1"/>
    <col min="6" max="6" width="11.7109375" customWidth="1"/>
    <col min="7" max="7" width="3" customWidth="1"/>
    <col min="8" max="8" width="11.7109375" customWidth="1"/>
    <col min="9" max="9" width="2" customWidth="1"/>
    <col min="10" max="10" width="12.42578125" customWidth="1"/>
    <col min="11" max="11" width="2.28515625" customWidth="1"/>
    <col min="12" max="12" width="19.28515625" customWidth="1"/>
  </cols>
  <sheetData>
    <row r="1" spans="1:12" x14ac:dyDescent="0.25">
      <c r="A1" s="3" t="s">
        <v>22</v>
      </c>
      <c r="I1" s="4"/>
      <c r="J1" s="3" t="s">
        <v>92</v>
      </c>
    </row>
    <row r="2" spans="1:12" x14ac:dyDescent="0.25">
      <c r="A2" t="s">
        <v>89</v>
      </c>
    </row>
    <row r="4" spans="1:12" x14ac:dyDescent="0.25">
      <c r="A4" s="13" t="s">
        <v>80</v>
      </c>
      <c r="B4" s="13"/>
      <c r="C4" s="13"/>
    </row>
    <row r="5" spans="1:12" x14ac:dyDescent="0.25">
      <c r="A5" t="s">
        <v>78</v>
      </c>
    </row>
    <row r="6" spans="1:12" x14ac:dyDescent="0.25">
      <c r="A6" t="s">
        <v>81</v>
      </c>
    </row>
    <row r="7" spans="1:12" x14ac:dyDescent="0.25">
      <c r="A7" t="s">
        <v>79</v>
      </c>
    </row>
    <row r="8" spans="1:12" x14ac:dyDescent="0.25">
      <c r="A8" s="12"/>
    </row>
    <row r="9" spans="1:12" x14ac:dyDescent="0.25">
      <c r="A9" s="12"/>
      <c r="B9" s="16" t="s">
        <v>36</v>
      </c>
    </row>
    <row r="10" spans="1:12" x14ac:dyDescent="0.25">
      <c r="A10" s="12"/>
      <c r="B10" s="16" t="s">
        <v>37</v>
      </c>
      <c r="C10" s="53">
        <v>5.5</v>
      </c>
    </row>
    <row r="11" spans="1:12" x14ac:dyDescent="0.25">
      <c r="A11" s="12"/>
      <c r="B11" s="16" t="s">
        <v>38</v>
      </c>
      <c r="C11" s="53">
        <v>90</v>
      </c>
    </row>
    <row r="12" spans="1:12" x14ac:dyDescent="0.25">
      <c r="A12" s="12"/>
      <c r="B12" s="16" t="s">
        <v>41</v>
      </c>
      <c r="C12" s="53">
        <v>110</v>
      </c>
    </row>
    <row r="13" spans="1:12" x14ac:dyDescent="0.25">
      <c r="B13" s="16" t="s">
        <v>67</v>
      </c>
      <c r="C13" s="54">
        <v>16</v>
      </c>
    </row>
    <row r="16" spans="1:12" x14ac:dyDescent="0.25">
      <c r="A16" t="s">
        <v>11</v>
      </c>
      <c r="D16" s="24" t="s">
        <v>12</v>
      </c>
      <c r="E16" s="24"/>
      <c r="F16" s="24" t="s">
        <v>13</v>
      </c>
      <c r="G16" s="24"/>
      <c r="H16" s="24" t="s">
        <v>14</v>
      </c>
      <c r="I16" s="24"/>
      <c r="J16" s="24" t="s">
        <v>15</v>
      </c>
      <c r="K16" s="24"/>
      <c r="L16" s="25" t="s">
        <v>40</v>
      </c>
    </row>
    <row r="17" spans="1:12" ht="17.25" x14ac:dyDescent="0.25">
      <c r="A17">
        <v>1</v>
      </c>
      <c r="B17" t="s">
        <v>56</v>
      </c>
      <c r="D17" s="2">
        <v>4</v>
      </c>
      <c r="E17" s="2"/>
      <c r="F17" s="2">
        <v>8</v>
      </c>
      <c r="G17" s="2"/>
      <c r="H17" s="2">
        <v>12</v>
      </c>
      <c r="I17" s="2"/>
      <c r="J17" s="2">
        <v>16</v>
      </c>
      <c r="K17" s="2"/>
      <c r="L17" s="22">
        <f>$C$13</f>
        <v>16</v>
      </c>
    </row>
    <row r="18" spans="1:12" x14ac:dyDescent="0.25">
      <c r="A18">
        <v>2</v>
      </c>
      <c r="B18" t="s">
        <v>16</v>
      </c>
      <c r="D18" s="2">
        <v>35</v>
      </c>
      <c r="E18" s="2"/>
      <c r="F18" s="2">
        <v>35</v>
      </c>
      <c r="G18" s="2"/>
      <c r="H18" s="2">
        <v>35</v>
      </c>
      <c r="I18" s="2"/>
      <c r="J18" s="2">
        <v>35</v>
      </c>
      <c r="K18" s="2"/>
      <c r="L18" s="23">
        <v>35</v>
      </c>
    </row>
    <row r="19" spans="1:12" x14ac:dyDescent="0.25">
      <c r="A19">
        <v>3</v>
      </c>
      <c r="B19" s="27" t="s">
        <v>68</v>
      </c>
      <c r="C19" s="26">
        <f>Calculations!H22</f>
        <v>57.02</v>
      </c>
      <c r="L19" s="17"/>
    </row>
    <row r="20" spans="1:12" ht="17.25" x14ac:dyDescent="0.25">
      <c r="B20" s="27" t="s">
        <v>42</v>
      </c>
      <c r="D20" s="5">
        <f>ROUND(D17*$C$19,2)</f>
        <v>228.08</v>
      </c>
      <c r="E20" s="5"/>
      <c r="F20" s="5">
        <f>ROUND(F17*$C$19,2)</f>
        <v>456.16</v>
      </c>
      <c r="G20" s="5"/>
      <c r="H20" s="5">
        <f>ROUND(H17*$C$19,2)</f>
        <v>684.24</v>
      </c>
      <c r="I20" s="5"/>
      <c r="J20" s="5">
        <f>ROUND(J17*$C$19,2)</f>
        <v>912.32</v>
      </c>
      <c r="K20" s="5"/>
      <c r="L20" s="20">
        <f>L17*$C$19</f>
        <v>912.32</v>
      </c>
    </row>
    <row r="21" spans="1:12" ht="17.25" x14ac:dyDescent="0.25">
      <c r="A21">
        <v>4</v>
      </c>
      <c r="B21" t="s">
        <v>39</v>
      </c>
      <c r="D21" s="5">
        <v>-60</v>
      </c>
      <c r="E21" s="5"/>
      <c r="F21" s="5">
        <v>-80</v>
      </c>
      <c r="G21" s="5"/>
      <c r="H21" s="5">
        <v>-100</v>
      </c>
      <c r="I21" s="5"/>
      <c r="J21" s="5">
        <v>-110</v>
      </c>
      <c r="K21" s="5"/>
      <c r="L21" s="20">
        <f>$C$12*-1</f>
        <v>-110</v>
      </c>
    </row>
    <row r="22" spans="1:12" x14ac:dyDescent="0.25">
      <c r="A22">
        <v>5</v>
      </c>
      <c r="B22" t="s">
        <v>17</v>
      </c>
      <c r="D22" s="21">
        <f>SUM(D20:D21)</f>
        <v>168.08</v>
      </c>
      <c r="E22" s="5"/>
      <c r="F22" s="21">
        <f>SUM(F20:F21)</f>
        <v>376.16</v>
      </c>
      <c r="G22" s="5"/>
      <c r="H22" s="21">
        <f>SUM(H20:H21)</f>
        <v>584.24</v>
      </c>
      <c r="I22" s="5"/>
      <c r="J22" s="21">
        <f>SUM(J20:J21)</f>
        <v>802.32</v>
      </c>
      <c r="K22" s="5"/>
      <c r="L22" s="21">
        <f>SUM(L20:L21)</f>
        <v>802.32</v>
      </c>
    </row>
    <row r="23" spans="1:12" x14ac:dyDescent="0.25">
      <c r="L23" s="17"/>
    </row>
    <row r="24" spans="1:12" x14ac:dyDescent="0.25">
      <c r="A24" t="s">
        <v>18</v>
      </c>
      <c r="D24" s="24" t="s">
        <v>12</v>
      </c>
      <c r="E24" s="24"/>
      <c r="F24" s="24" t="s">
        <v>13</v>
      </c>
      <c r="G24" s="24"/>
      <c r="H24" s="24" t="s">
        <v>14</v>
      </c>
      <c r="I24" s="24"/>
      <c r="J24" s="24" t="s">
        <v>15</v>
      </c>
      <c r="K24" s="24"/>
      <c r="L24" s="25" t="s">
        <v>40</v>
      </c>
    </row>
    <row r="25" spans="1:12" ht="17.25" x14ac:dyDescent="0.25">
      <c r="A25">
        <v>1</v>
      </c>
      <c r="B25" t="s">
        <v>56</v>
      </c>
      <c r="D25" s="2">
        <v>4</v>
      </c>
      <c r="E25" s="2"/>
      <c r="F25" s="2">
        <v>8</v>
      </c>
      <c r="G25" s="2"/>
      <c r="H25" s="2">
        <v>12</v>
      </c>
      <c r="I25" s="2"/>
      <c r="J25" s="2">
        <v>16</v>
      </c>
      <c r="K25" s="2"/>
      <c r="L25" s="22">
        <f>$C$13</f>
        <v>16</v>
      </c>
    </row>
    <row r="26" spans="1:12" x14ac:dyDescent="0.25">
      <c r="A26">
        <v>2</v>
      </c>
      <c r="B26" t="s">
        <v>16</v>
      </c>
      <c r="D26" s="2">
        <v>35</v>
      </c>
      <c r="E26" s="2"/>
      <c r="F26" s="2">
        <v>35</v>
      </c>
      <c r="G26" s="2"/>
      <c r="H26" s="2">
        <v>35</v>
      </c>
      <c r="I26" s="2"/>
      <c r="J26" s="2">
        <v>35</v>
      </c>
      <c r="K26" s="2"/>
      <c r="L26" s="23">
        <v>35</v>
      </c>
    </row>
    <row r="27" spans="1:12" x14ac:dyDescent="0.25">
      <c r="A27">
        <v>3</v>
      </c>
      <c r="B27" s="27" t="s">
        <v>68</v>
      </c>
      <c r="C27" s="26">
        <f>Calculations!H32</f>
        <v>46.01</v>
      </c>
      <c r="L27" s="17"/>
    </row>
    <row r="28" spans="1:12" ht="17.25" x14ac:dyDescent="0.25">
      <c r="B28" s="27" t="s">
        <v>42</v>
      </c>
      <c r="D28" s="5">
        <f>ROUND(D25*$C$27,2)</f>
        <v>184.04</v>
      </c>
      <c r="E28" s="5"/>
      <c r="F28" s="5">
        <f>ROUND(F25*$C$27,2)</f>
        <v>368.08</v>
      </c>
      <c r="G28" s="5"/>
      <c r="H28" s="5">
        <f>ROUND(H25*$C$27,2)</f>
        <v>552.12</v>
      </c>
      <c r="I28" s="5"/>
      <c r="J28" s="5">
        <f>ROUND(J25*$C$27,2)</f>
        <v>736.16</v>
      </c>
      <c r="K28" s="5"/>
      <c r="L28" s="20">
        <f>L25*$C$27</f>
        <v>736.16</v>
      </c>
    </row>
    <row r="29" spans="1:12" ht="17.25" x14ac:dyDescent="0.25">
      <c r="A29">
        <v>4</v>
      </c>
      <c r="B29" t="s">
        <v>39</v>
      </c>
      <c r="D29" s="5">
        <v>-60</v>
      </c>
      <c r="E29" s="5"/>
      <c r="F29" s="5">
        <v>-80</v>
      </c>
      <c r="G29" s="5"/>
      <c r="H29" s="5">
        <v>-100</v>
      </c>
      <c r="I29" s="5"/>
      <c r="J29" s="5">
        <v>-110</v>
      </c>
      <c r="K29" s="5"/>
      <c r="L29" s="20">
        <f>$C$12*-1</f>
        <v>-110</v>
      </c>
    </row>
    <row r="30" spans="1:12" x14ac:dyDescent="0.25">
      <c r="A30">
        <v>5</v>
      </c>
      <c r="B30" t="s">
        <v>17</v>
      </c>
      <c r="D30" s="21">
        <f>SUM(D28:D29)</f>
        <v>124.03999999999999</v>
      </c>
      <c r="E30" s="5"/>
      <c r="F30" s="21">
        <f>SUM(F28:F29)</f>
        <v>288.08</v>
      </c>
      <c r="G30" s="5"/>
      <c r="H30" s="21">
        <f>SUM(H28:H29)</f>
        <v>452.12</v>
      </c>
      <c r="I30" s="5"/>
      <c r="J30" s="21">
        <f>SUM(J28:J29)</f>
        <v>626.16</v>
      </c>
      <c r="K30" s="5"/>
      <c r="L30" s="21">
        <f>SUM(L28:L29)</f>
        <v>626.16</v>
      </c>
    </row>
    <row r="31" spans="1:12" x14ac:dyDescent="0.25">
      <c r="L31" s="17"/>
    </row>
    <row r="32" spans="1:12" x14ac:dyDescent="0.25">
      <c r="A32" t="s">
        <v>19</v>
      </c>
      <c r="D32" s="24" t="s">
        <v>12</v>
      </c>
      <c r="E32" s="24"/>
      <c r="F32" s="24" t="s">
        <v>13</v>
      </c>
      <c r="G32" s="24"/>
      <c r="H32" s="24" t="s">
        <v>14</v>
      </c>
      <c r="I32" s="24"/>
      <c r="J32" s="24" t="s">
        <v>15</v>
      </c>
      <c r="K32" s="24"/>
      <c r="L32" s="25" t="s">
        <v>40</v>
      </c>
    </row>
    <row r="33" spans="1:12" ht="17.25" x14ac:dyDescent="0.25">
      <c r="A33">
        <v>1</v>
      </c>
      <c r="B33" t="s">
        <v>56</v>
      </c>
      <c r="D33" s="2">
        <v>4</v>
      </c>
      <c r="E33" s="2"/>
      <c r="F33" s="2">
        <v>8</v>
      </c>
      <c r="G33" s="2"/>
      <c r="H33" s="2">
        <v>12</v>
      </c>
      <c r="I33" s="2"/>
      <c r="J33" s="2">
        <v>16</v>
      </c>
      <c r="L33" s="18">
        <f>$C$13</f>
        <v>16</v>
      </c>
    </row>
    <row r="34" spans="1:12" x14ac:dyDescent="0.25">
      <c r="A34">
        <v>2</v>
      </c>
      <c r="B34" t="s">
        <v>16</v>
      </c>
      <c r="D34">
        <v>35</v>
      </c>
      <c r="F34">
        <v>35</v>
      </c>
      <c r="H34">
        <v>35</v>
      </c>
      <c r="J34">
        <v>35</v>
      </c>
      <c r="L34" s="19">
        <v>35</v>
      </c>
    </row>
    <row r="35" spans="1:12" x14ac:dyDescent="0.25">
      <c r="A35">
        <v>3</v>
      </c>
      <c r="B35" s="27" t="s">
        <v>68</v>
      </c>
      <c r="C35" s="26">
        <f>Calculations!H40</f>
        <v>35</v>
      </c>
      <c r="L35" s="17"/>
    </row>
    <row r="36" spans="1:12" ht="17.25" x14ac:dyDescent="0.25">
      <c r="B36" s="27" t="s">
        <v>42</v>
      </c>
      <c r="D36" s="5">
        <f>ROUND(D33*$C$35,2)</f>
        <v>140</v>
      </c>
      <c r="E36" s="5"/>
      <c r="F36" s="5">
        <f>ROUND(F33*$C$35,2)</f>
        <v>280</v>
      </c>
      <c r="G36" s="5"/>
      <c r="H36" s="5">
        <f>ROUND(H33*$C$35,2)</f>
        <v>420</v>
      </c>
      <c r="I36" s="5"/>
      <c r="J36" s="5">
        <f>ROUND(J33*$C$35,2)</f>
        <v>560</v>
      </c>
      <c r="K36" s="5"/>
      <c r="L36" s="20">
        <f>L33*$C$35</f>
        <v>560</v>
      </c>
    </row>
    <row r="37" spans="1:12" ht="17.25" x14ac:dyDescent="0.25">
      <c r="A37">
        <v>4</v>
      </c>
      <c r="B37" t="s">
        <v>39</v>
      </c>
      <c r="D37" s="5">
        <v>-60</v>
      </c>
      <c r="E37" s="5"/>
      <c r="F37" s="5">
        <v>-80</v>
      </c>
      <c r="G37" s="5"/>
      <c r="H37" s="5">
        <v>-100</v>
      </c>
      <c r="I37" s="5"/>
      <c r="J37" s="5">
        <v>-110</v>
      </c>
      <c r="K37" s="5"/>
      <c r="L37" s="20">
        <f>$C$12*-1</f>
        <v>-110</v>
      </c>
    </row>
    <row r="38" spans="1:12" x14ac:dyDescent="0.25">
      <c r="A38">
        <v>5</v>
      </c>
      <c r="B38" t="s">
        <v>17</v>
      </c>
      <c r="D38" s="21">
        <f>SUM(D36:D37)</f>
        <v>80</v>
      </c>
      <c r="E38" s="5"/>
      <c r="F38" s="21">
        <f>SUM(F36:F37)</f>
        <v>200</v>
      </c>
      <c r="G38" s="5"/>
      <c r="H38" s="21">
        <f>SUM(H36:H37)</f>
        <v>320</v>
      </c>
      <c r="I38" s="5"/>
      <c r="J38" s="21">
        <f>SUM(J36:J37)</f>
        <v>450</v>
      </c>
      <c r="K38" s="5"/>
      <c r="L38" s="21">
        <f>SUM(L36:L37)</f>
        <v>450</v>
      </c>
    </row>
    <row r="40" spans="1:12" x14ac:dyDescent="0.25">
      <c r="D40" s="5"/>
      <c r="F40" s="5"/>
      <c r="H40" s="5"/>
      <c r="J40" s="5"/>
    </row>
    <row r="41" spans="1:12" x14ac:dyDescent="0.25">
      <c r="A41">
        <v>1</v>
      </c>
      <c r="B41" t="s">
        <v>82</v>
      </c>
      <c r="D41" s="5"/>
      <c r="F41" s="5"/>
      <c r="H41" s="5"/>
      <c r="J41" s="5"/>
    </row>
    <row r="42" spans="1:12" x14ac:dyDescent="0.25">
      <c r="A42">
        <v>2</v>
      </c>
      <c r="B42" t="s">
        <v>20</v>
      </c>
    </row>
    <row r="43" spans="1:12" x14ac:dyDescent="0.25">
      <c r="B43" t="s">
        <v>21</v>
      </c>
    </row>
    <row r="44" spans="1:12" x14ac:dyDescent="0.25">
      <c r="A44">
        <v>3</v>
      </c>
      <c r="B44" t="s">
        <v>44</v>
      </c>
    </row>
    <row r="46" spans="1:12" x14ac:dyDescent="0.25">
      <c r="A46" s="68" t="s">
        <v>88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F466-117D-4934-BC05-D7F11AA8F8D7}">
  <dimension ref="A1:AG56"/>
  <sheetViews>
    <sheetView workbookViewId="0">
      <selection activeCell="H1" sqref="H1"/>
    </sheetView>
  </sheetViews>
  <sheetFormatPr defaultRowHeight="15" x14ac:dyDescent="0.25"/>
  <cols>
    <col min="2" max="2" width="48.5703125" customWidth="1"/>
    <col min="19" max="22" width="9.140625" hidden="1" customWidth="1"/>
    <col min="23" max="24" width="7" hidden="1" customWidth="1"/>
    <col min="25" max="30" width="9.140625" hidden="1" customWidth="1"/>
  </cols>
  <sheetData>
    <row r="1" spans="1:30" x14ac:dyDescent="0.25">
      <c r="A1" s="3" t="s">
        <v>71</v>
      </c>
    </row>
    <row r="2" spans="1:30" x14ac:dyDescent="0.25">
      <c r="A2" t="s">
        <v>45</v>
      </c>
    </row>
    <row r="4" spans="1:30" x14ac:dyDescent="0.25">
      <c r="A4" t="s">
        <v>77</v>
      </c>
    </row>
    <row r="6" spans="1:30" x14ac:dyDescent="0.25">
      <c r="A6" s="3"/>
      <c r="B6" s="16" t="s">
        <v>36</v>
      </c>
    </row>
    <row r="7" spans="1:30" x14ac:dyDescent="0.25">
      <c r="A7" s="3"/>
      <c r="B7" s="16" t="s">
        <v>75</v>
      </c>
      <c r="C7" s="55">
        <v>0.65</v>
      </c>
    </row>
    <row r="8" spans="1:30" x14ac:dyDescent="0.25">
      <c r="A8" s="3"/>
      <c r="B8" s="16" t="s">
        <v>73</v>
      </c>
      <c r="C8" s="56">
        <v>2</v>
      </c>
    </row>
    <row r="9" spans="1:30" x14ac:dyDescent="0.25">
      <c r="A9" s="3"/>
      <c r="B9" s="16" t="s">
        <v>74</v>
      </c>
      <c r="C9" s="56">
        <v>40</v>
      </c>
    </row>
    <row r="10" spans="1:30" x14ac:dyDescent="0.25">
      <c r="A10" s="3"/>
    </row>
    <row r="11" spans="1:30" s="34" customFormat="1" x14ac:dyDescent="0.25"/>
    <row r="12" spans="1:30" s="34" customFormat="1" ht="21" x14ac:dyDescent="0.35">
      <c r="B12" s="35" t="s">
        <v>11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</row>
    <row r="13" spans="1:30" s="34" customFormat="1" ht="21" x14ac:dyDescent="0.35">
      <c r="B13" s="38"/>
      <c r="C13" s="39"/>
      <c r="D13" s="71" t="s">
        <v>69</v>
      </c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30" s="34" customFormat="1" x14ac:dyDescent="0.25">
      <c r="B14" s="38"/>
      <c r="C14" s="40"/>
      <c r="D14" s="41">
        <f>$C$8</f>
        <v>2</v>
      </c>
      <c r="E14" s="42">
        <f>D14+0.5</f>
        <v>2.5</v>
      </c>
      <c r="F14" s="42">
        <f t="shared" ref="F14:N14" si="0">E14+0.5</f>
        <v>3</v>
      </c>
      <c r="G14" s="42">
        <f t="shared" si="0"/>
        <v>3.5</v>
      </c>
      <c r="H14" s="42">
        <f t="shared" si="0"/>
        <v>4</v>
      </c>
      <c r="I14" s="42">
        <f t="shared" si="0"/>
        <v>4.5</v>
      </c>
      <c r="J14" s="42">
        <f t="shared" si="0"/>
        <v>5</v>
      </c>
      <c r="K14" s="42">
        <f t="shared" si="0"/>
        <v>5.5</v>
      </c>
      <c r="L14" s="42">
        <f t="shared" si="0"/>
        <v>6</v>
      </c>
      <c r="M14" s="42">
        <f t="shared" si="0"/>
        <v>6.5</v>
      </c>
      <c r="N14" s="43">
        <f t="shared" si="0"/>
        <v>7</v>
      </c>
      <c r="T14" s="44">
        <f>D14/Calculations!$D$8</f>
        <v>4.1050903119868636E-2</v>
      </c>
      <c r="U14" s="44">
        <f>E14/Calculations!$D$8</f>
        <v>5.1313628899835796E-2</v>
      </c>
      <c r="V14" s="44">
        <f>F14/Calculations!$D$8</f>
        <v>6.1576354679802957E-2</v>
      </c>
      <c r="W14" s="44">
        <f>G14/Calculations!$D$8</f>
        <v>7.183908045977011E-2</v>
      </c>
      <c r="X14" s="44">
        <f>H14/Calculations!$D$8</f>
        <v>8.2101806239737271E-2</v>
      </c>
      <c r="Y14" s="44">
        <f>I14/Calculations!$D$8</f>
        <v>9.2364532019704432E-2</v>
      </c>
      <c r="Z14" s="44">
        <f>J14/Calculations!$D$8</f>
        <v>0.10262725779967159</v>
      </c>
      <c r="AA14" s="44">
        <f>K14/Calculations!$D$8</f>
        <v>0.11288998357963875</v>
      </c>
      <c r="AB14" s="44">
        <f>L14/Calculations!$D$8</f>
        <v>0.12315270935960591</v>
      </c>
      <c r="AC14" s="44">
        <f>M14/Calculations!$D$8</f>
        <v>0.13341543513957307</v>
      </c>
      <c r="AD14" s="44">
        <f>N14/Calculations!$D$8</f>
        <v>0.14367816091954022</v>
      </c>
    </row>
    <row r="15" spans="1:30" s="34" customFormat="1" ht="15" customHeight="1" x14ac:dyDescent="0.25">
      <c r="B15" s="73" t="s">
        <v>70</v>
      </c>
      <c r="C15" s="45">
        <f>$C$9</f>
        <v>40</v>
      </c>
      <c r="D15" s="46">
        <f>(2000*(1-$C$7)*0.5*PriceSlides!T$28)+(2000*(1-$C$7)*0.5*PriceSlides!$S15)</f>
        <v>22.145593869731801</v>
      </c>
      <c r="E15" s="46">
        <f>(2000*(1-$C$7)*0.5*PriceSlides!U$28)+(2000*(1-$C$7)*0.5*PriceSlides!$S15)</f>
        <v>25.737547892720308</v>
      </c>
      <c r="F15" s="46">
        <f>(2000*(1-$C$7)*0.5*PriceSlides!V$28)+(2000*(1-$C$7)*0.5*PriceSlides!$S15)</f>
        <v>29.329501915708814</v>
      </c>
      <c r="G15" s="46">
        <f>(2000*(1-$C$7)*0.5*PriceSlides!W$28)+(2000*(1-$C$7)*0.5*PriceSlides!$S15)</f>
        <v>32.921455938697314</v>
      </c>
      <c r="H15" s="46">
        <f>(2000*(1-$C$7)*0.5*PriceSlides!X$28)+(2000*(1-$C$7)*0.5*PriceSlides!$S15)</f>
        <v>36.513409961685824</v>
      </c>
      <c r="I15" s="46">
        <f>(2000*(1-$C$7)*0.5*PriceSlides!Y$28)+(2000*(1-$C$7)*0.5*PriceSlides!$S15)</f>
        <v>40.105363984674327</v>
      </c>
      <c r="J15" s="46">
        <f>(2000*(1-$C$7)*0.5*PriceSlides!Z$28)+(2000*(1-$C$7)*0.5*PriceSlides!$S15)</f>
        <v>43.697318007662837</v>
      </c>
      <c r="K15" s="46">
        <f>(2000*(1-$C$7)*0.5*PriceSlides!AA$28)+(2000*(1-$C$7)*0.5*PriceSlides!$S15)</f>
        <v>47.28927203065134</v>
      </c>
      <c r="L15" s="46">
        <f>(2000*(1-$C$7)*0.5*PriceSlides!AB$28)+(2000*(1-$C$7)*0.5*PriceSlides!$S15)</f>
        <v>50.88122605363985</v>
      </c>
      <c r="M15" s="46">
        <f>(2000*(1-$C$7)*0.5*PriceSlides!AC$28)+(2000*(1-$C$7)*0.5*PriceSlides!$S15)</f>
        <v>54.473180076628353</v>
      </c>
      <c r="N15" s="47">
        <f>(2000*(1-$C$7)*0.5*PriceSlides!AD$28)+(2000*(1-$C$7)*0.5*PriceSlides!$S15)</f>
        <v>58.065134099616856</v>
      </c>
      <c r="S15" s="44">
        <f>C15/Calculations!$D$13</f>
        <v>2.2222222222222223E-2</v>
      </c>
    </row>
    <row r="16" spans="1:30" s="34" customFormat="1" ht="15" customHeight="1" x14ac:dyDescent="0.25">
      <c r="B16" s="73"/>
      <c r="C16" s="48">
        <f>C15+10</f>
        <v>50</v>
      </c>
      <c r="D16" s="46">
        <f>(2000*(1-$C$7)*0.5*PriceSlides!T$28)+(2000*(1-$C$7)*0.5*PriceSlides!$S16)</f>
        <v>24.090038314176244</v>
      </c>
      <c r="E16" s="46">
        <f>(2000*(1-$C$7)*0.5*PriceSlides!U$28)+(2000*(1-$C$7)*0.5*PriceSlides!$S16)</f>
        <v>27.68199233716475</v>
      </c>
      <c r="F16" s="46">
        <f>(2000*(1-$C$7)*0.5*PriceSlides!V$28)+(2000*(1-$C$7)*0.5*PriceSlides!$S16)</f>
        <v>31.273946360153257</v>
      </c>
      <c r="G16" s="46">
        <f>(2000*(1-$C$7)*0.5*PriceSlides!W$28)+(2000*(1-$C$7)*0.5*PriceSlides!$S16)</f>
        <v>34.865900383141764</v>
      </c>
      <c r="H16" s="46">
        <f>(2000*(1-$C$7)*0.5*PriceSlides!X$28)+(2000*(1-$C$7)*0.5*PriceSlides!$S16)</f>
        <v>38.457854406130267</v>
      </c>
      <c r="I16" s="46">
        <f>(2000*(1-$C$7)*0.5*PriceSlides!Y$28)+(2000*(1-$C$7)*0.5*PriceSlides!$S16)</f>
        <v>42.049808429118769</v>
      </c>
      <c r="J16" s="46">
        <f>(2000*(1-$C$7)*0.5*PriceSlides!Z$28)+(2000*(1-$C$7)*0.5*PriceSlides!$S16)</f>
        <v>45.64176245210728</v>
      </c>
      <c r="K16" s="46">
        <f>(2000*(1-$C$7)*0.5*PriceSlides!AA$28)+(2000*(1-$C$7)*0.5*PriceSlides!$S16)</f>
        <v>49.233716475095783</v>
      </c>
      <c r="L16" s="46">
        <f>(2000*(1-$C$7)*0.5*PriceSlides!AB$28)+(2000*(1-$C$7)*0.5*PriceSlides!$S16)</f>
        <v>52.825670498084293</v>
      </c>
      <c r="M16" s="46">
        <f>(2000*(1-$C$7)*0.5*PriceSlides!AC$28)+(2000*(1-$C$7)*0.5*PriceSlides!$S16)</f>
        <v>56.417624521072796</v>
      </c>
      <c r="N16" s="47">
        <f>(2000*(1-$C$7)*0.5*PriceSlides!AD$28)+(2000*(1-$C$7)*0.5*PriceSlides!$S16)</f>
        <v>60.009578544061299</v>
      </c>
      <c r="S16" s="44">
        <f>C16/Calculations!$D$13</f>
        <v>2.7777777777777776E-2</v>
      </c>
    </row>
    <row r="17" spans="2:33" s="34" customFormat="1" ht="15" customHeight="1" x14ac:dyDescent="0.25">
      <c r="B17" s="73"/>
      <c r="C17" s="48">
        <f t="shared" ref="C17:C23" si="1">C16+10</f>
        <v>60</v>
      </c>
      <c r="D17" s="46">
        <f>(2000*(1-$C$7)*0.5*PriceSlides!T$28)+(2000*(1-$C$7)*0.5*PriceSlides!$S17)</f>
        <v>26.03448275862069</v>
      </c>
      <c r="E17" s="46">
        <f>(2000*(1-$C$7)*0.5*PriceSlides!U$28)+(2000*(1-$C$7)*0.5*PriceSlides!$S17)</f>
        <v>29.626436781609193</v>
      </c>
      <c r="F17" s="46">
        <f>(2000*(1-$C$7)*0.5*PriceSlides!V$28)+(2000*(1-$C$7)*0.5*PriceSlides!$S17)</f>
        <v>33.218390804597703</v>
      </c>
      <c r="G17" s="46">
        <f>(2000*(1-$C$7)*0.5*PriceSlides!W$28)+(2000*(1-$C$7)*0.5*PriceSlides!$S17)</f>
        <v>36.810344827586206</v>
      </c>
      <c r="H17" s="46">
        <f>(2000*(1-$C$7)*0.5*PriceSlides!X$28)+(2000*(1-$C$7)*0.5*PriceSlides!$S17)</f>
        <v>40.402298850574709</v>
      </c>
      <c r="I17" s="46">
        <f>(2000*(1-$C$7)*0.5*PriceSlides!Y$28)+(2000*(1-$C$7)*0.5*PriceSlides!$S17)</f>
        <v>43.994252873563212</v>
      </c>
      <c r="J17" s="46">
        <f>(2000*(1-$C$7)*0.5*PriceSlides!Z$28)+(2000*(1-$C$7)*0.5*PriceSlides!$S17)</f>
        <v>47.586206896551722</v>
      </c>
      <c r="K17" s="46">
        <f>(2000*(1-$C$7)*0.5*PriceSlides!AA$28)+(2000*(1-$C$7)*0.5*PriceSlides!$S17)</f>
        <v>51.178160919540225</v>
      </c>
      <c r="L17" s="46">
        <f>(2000*(1-$C$7)*0.5*PriceSlides!AB$28)+(2000*(1-$C$7)*0.5*PriceSlides!$S17)</f>
        <v>54.770114942528735</v>
      </c>
      <c r="M17" s="46">
        <f>(2000*(1-$C$7)*0.5*PriceSlides!AC$28)+(2000*(1-$C$7)*0.5*PriceSlides!$S17)</f>
        <v>58.362068965517238</v>
      </c>
      <c r="N17" s="47">
        <f>(2000*(1-$C$7)*0.5*PriceSlides!AD$28)+(2000*(1-$C$7)*0.5*PriceSlides!$S17)</f>
        <v>61.954022988505741</v>
      </c>
      <c r="S17" s="44">
        <f>C17/Calculations!$D$13</f>
        <v>3.3333333333333333E-2</v>
      </c>
    </row>
    <row r="18" spans="2:33" s="34" customFormat="1" ht="15" customHeight="1" x14ac:dyDescent="0.25">
      <c r="B18" s="73"/>
      <c r="C18" s="48">
        <f t="shared" si="1"/>
        <v>70</v>
      </c>
      <c r="D18" s="46">
        <f>(2000*(1-$C$7)*0.5*PriceSlides!T$28)+(2000*(1-$C$7)*0.5*PriceSlides!$S18)</f>
        <v>27.978927203065133</v>
      </c>
      <c r="E18" s="46">
        <f>(2000*(1-$C$7)*0.5*PriceSlides!U$28)+(2000*(1-$C$7)*0.5*PriceSlides!$S18)</f>
        <v>31.57088122605364</v>
      </c>
      <c r="F18" s="46">
        <f>(2000*(1-$C$7)*0.5*PriceSlides!V$28)+(2000*(1-$C$7)*0.5*PriceSlides!$S18)</f>
        <v>35.162835249042146</v>
      </c>
      <c r="G18" s="46">
        <f>(2000*(1-$C$7)*0.5*PriceSlides!W$28)+(2000*(1-$C$7)*0.5*PriceSlides!$S18)</f>
        <v>38.754789272030649</v>
      </c>
      <c r="H18" s="46">
        <f>(2000*(1-$C$7)*0.5*PriceSlides!X$28)+(2000*(1-$C$7)*0.5*PriceSlides!$S18)</f>
        <v>42.346743295019152</v>
      </c>
      <c r="I18" s="46">
        <f>(2000*(1-$C$7)*0.5*PriceSlides!Y$28)+(2000*(1-$C$7)*0.5*PriceSlides!$S18)</f>
        <v>45.938697318007655</v>
      </c>
      <c r="J18" s="46">
        <f>(2000*(1-$C$7)*0.5*PriceSlides!Z$28)+(2000*(1-$C$7)*0.5*PriceSlides!$S18)</f>
        <v>49.530651340996172</v>
      </c>
      <c r="K18" s="46">
        <f>(2000*(1-$C$7)*0.5*PriceSlides!AA$28)+(2000*(1-$C$7)*0.5*PriceSlides!$S18)</f>
        <v>53.122605363984675</v>
      </c>
      <c r="L18" s="46">
        <f>(2000*(1-$C$7)*0.5*PriceSlides!AB$28)+(2000*(1-$C$7)*0.5*PriceSlides!$S18)</f>
        <v>56.714559386973178</v>
      </c>
      <c r="M18" s="46">
        <f>(2000*(1-$C$7)*0.5*PriceSlides!AC$28)+(2000*(1-$C$7)*0.5*PriceSlides!$S18)</f>
        <v>60.306513409961681</v>
      </c>
      <c r="N18" s="47">
        <f>(2000*(1-$C$7)*0.5*PriceSlides!AD$28)+(2000*(1-$C$7)*0.5*PriceSlides!$S18)</f>
        <v>63.898467432950184</v>
      </c>
      <c r="S18" s="44">
        <f>C18/Calculations!$D$13</f>
        <v>3.888888888888889E-2</v>
      </c>
    </row>
    <row r="19" spans="2:33" s="34" customFormat="1" ht="15" customHeight="1" x14ac:dyDescent="0.25">
      <c r="B19" s="73"/>
      <c r="C19" s="48">
        <f t="shared" si="1"/>
        <v>80</v>
      </c>
      <c r="D19" s="46">
        <f>(2000*(1-$C$7)*0.5*PriceSlides!T$28)+(2000*(1-$C$7)*0.5*PriceSlides!$S19)</f>
        <v>29.923371647509576</v>
      </c>
      <c r="E19" s="46">
        <f>(2000*(1-$C$7)*0.5*PriceSlides!U$28)+(2000*(1-$C$7)*0.5*PriceSlides!$S19)</f>
        <v>33.515325670498086</v>
      </c>
      <c r="F19" s="46">
        <f>(2000*(1-$C$7)*0.5*PriceSlides!V$28)+(2000*(1-$C$7)*0.5*PriceSlides!$S19)</f>
        <v>37.107279693486589</v>
      </c>
      <c r="G19" s="46">
        <f>(2000*(1-$C$7)*0.5*PriceSlides!W$28)+(2000*(1-$C$7)*0.5*PriceSlides!$S19)</f>
        <v>40.699233716475092</v>
      </c>
      <c r="H19" s="46">
        <f>(2000*(1-$C$7)*0.5*PriceSlides!X$28)+(2000*(1-$C$7)*0.5*PriceSlides!$S19)</f>
        <v>44.291187739463602</v>
      </c>
      <c r="I19" s="46">
        <f>(2000*(1-$C$7)*0.5*PriceSlides!Y$28)+(2000*(1-$C$7)*0.5*PriceSlides!$S19)</f>
        <v>47.883141762452105</v>
      </c>
      <c r="J19" s="46">
        <f>(2000*(1-$C$7)*0.5*PriceSlides!Z$28)+(2000*(1-$C$7)*0.5*PriceSlides!$S19)</f>
        <v>51.475095785440615</v>
      </c>
      <c r="K19" s="46">
        <f>(2000*(1-$C$7)*0.5*PriceSlides!AA$28)+(2000*(1-$C$7)*0.5*PriceSlides!$S19)</f>
        <v>55.067049808429118</v>
      </c>
      <c r="L19" s="46">
        <f>(2000*(1-$C$7)*0.5*PriceSlides!AB$28)+(2000*(1-$C$7)*0.5*PriceSlides!$S19)</f>
        <v>58.659003831417628</v>
      </c>
      <c r="M19" s="46">
        <f>(2000*(1-$C$7)*0.5*PriceSlides!AC$28)+(2000*(1-$C$7)*0.5*PriceSlides!$S19)</f>
        <v>62.250957854406131</v>
      </c>
      <c r="N19" s="47">
        <f>(2000*(1-$C$7)*0.5*PriceSlides!AD$28)+(2000*(1-$C$7)*0.5*PriceSlides!$S19)</f>
        <v>65.842911877394627</v>
      </c>
      <c r="S19" s="44">
        <f>C19/Calculations!$D$13</f>
        <v>4.4444444444444446E-2</v>
      </c>
    </row>
    <row r="20" spans="2:33" s="34" customFormat="1" ht="15" customHeight="1" x14ac:dyDescent="0.25">
      <c r="B20" s="73"/>
      <c r="C20" s="48">
        <f t="shared" si="1"/>
        <v>90</v>
      </c>
      <c r="D20" s="46">
        <f>(2000*(1-$C$7)*0.5*PriceSlides!T$28)+(2000*(1-$C$7)*0.5*PriceSlides!$S20)</f>
        <v>31.867816091954023</v>
      </c>
      <c r="E20" s="46">
        <f>(2000*(1-$C$7)*0.5*PriceSlides!U$28)+(2000*(1-$C$7)*0.5*PriceSlides!$S20)</f>
        <v>35.459770114942529</v>
      </c>
      <c r="F20" s="46">
        <f>(2000*(1-$C$7)*0.5*PriceSlides!V$28)+(2000*(1-$C$7)*0.5*PriceSlides!$S20)</f>
        <v>39.051724137931032</v>
      </c>
      <c r="G20" s="46">
        <f>(2000*(1-$C$7)*0.5*PriceSlides!W$28)+(2000*(1-$C$7)*0.5*PriceSlides!$S20)</f>
        <v>42.643678160919535</v>
      </c>
      <c r="H20" s="46">
        <f>(2000*(1-$C$7)*0.5*PriceSlides!X$28)+(2000*(1-$C$7)*0.5*PriceSlides!$S20)</f>
        <v>46.235632183908045</v>
      </c>
      <c r="I20" s="46">
        <f>(2000*(1-$C$7)*0.5*PriceSlides!Y$28)+(2000*(1-$C$7)*0.5*PriceSlides!$S20)</f>
        <v>49.827586206896548</v>
      </c>
      <c r="J20" s="46">
        <f>(2000*(1-$C$7)*0.5*PriceSlides!Z$28)+(2000*(1-$C$7)*0.5*PriceSlides!$S20)</f>
        <v>53.419540229885058</v>
      </c>
      <c r="K20" s="46">
        <f>(2000*(1-$C$7)*0.5*PriceSlides!AA$28)+(2000*(1-$C$7)*0.5*PriceSlides!$S20)</f>
        <v>57.011494252873561</v>
      </c>
      <c r="L20" s="46">
        <f>(2000*(1-$C$7)*0.5*PriceSlides!AB$28)+(2000*(1-$C$7)*0.5*PriceSlides!$S20)</f>
        <v>60.603448275862071</v>
      </c>
      <c r="M20" s="46">
        <f>(2000*(1-$C$7)*0.5*PriceSlides!AC$28)+(2000*(1-$C$7)*0.5*PriceSlides!$S20)</f>
        <v>64.195402298850581</v>
      </c>
      <c r="N20" s="47">
        <f>(2000*(1-$C$7)*0.5*PriceSlides!AD$28)+(2000*(1-$C$7)*0.5*PriceSlides!$S20)</f>
        <v>67.78735632183907</v>
      </c>
      <c r="S20" s="44">
        <f>C20/Calculations!$D$13</f>
        <v>0.05</v>
      </c>
    </row>
    <row r="21" spans="2:33" s="34" customFormat="1" ht="15" customHeight="1" x14ac:dyDescent="0.25">
      <c r="B21" s="73"/>
      <c r="C21" s="48">
        <f t="shared" si="1"/>
        <v>100</v>
      </c>
      <c r="D21" s="46">
        <f>(2000*(1-$C$7)*0.5*PriceSlides!T$28)+(2000*(1-$C$7)*0.5*PriceSlides!$S21)</f>
        <v>33.812260536398469</v>
      </c>
      <c r="E21" s="46">
        <f>(2000*(1-$C$7)*0.5*PriceSlides!U$28)+(2000*(1-$C$7)*0.5*PriceSlides!$S21)</f>
        <v>37.404214559386972</v>
      </c>
      <c r="F21" s="46">
        <f>(2000*(1-$C$7)*0.5*PriceSlides!V$28)+(2000*(1-$C$7)*0.5*PriceSlides!$S21)</f>
        <v>40.996168582375475</v>
      </c>
      <c r="G21" s="46">
        <f>(2000*(1-$C$7)*0.5*PriceSlides!W$28)+(2000*(1-$C$7)*0.5*PriceSlides!$S21)</f>
        <v>44.588122605363978</v>
      </c>
      <c r="H21" s="46">
        <f>(2000*(1-$C$7)*0.5*PriceSlides!X$28)+(2000*(1-$C$7)*0.5*PriceSlides!$S21)</f>
        <v>48.180076628352488</v>
      </c>
      <c r="I21" s="46">
        <f>(2000*(1-$C$7)*0.5*PriceSlides!Y$28)+(2000*(1-$C$7)*0.5*PriceSlides!$S21)</f>
        <v>51.772030651340991</v>
      </c>
      <c r="J21" s="46">
        <f>(2000*(1-$C$7)*0.5*PriceSlides!Z$28)+(2000*(1-$C$7)*0.5*PriceSlides!$S21)</f>
        <v>55.363984674329501</v>
      </c>
      <c r="K21" s="46">
        <f>(2000*(1-$C$7)*0.5*PriceSlides!AA$28)+(2000*(1-$C$7)*0.5*PriceSlides!$S21)</f>
        <v>58.955938697318004</v>
      </c>
      <c r="L21" s="46">
        <f>(2000*(1-$C$7)*0.5*PriceSlides!AB$28)+(2000*(1-$C$7)*0.5*PriceSlides!$S21)</f>
        <v>62.547892720306514</v>
      </c>
      <c r="M21" s="46">
        <f>(2000*(1-$C$7)*0.5*PriceSlides!AC$28)+(2000*(1-$C$7)*0.5*PriceSlides!$S21)</f>
        <v>66.13984674329501</v>
      </c>
      <c r="N21" s="47">
        <f>(2000*(1-$C$7)*0.5*PriceSlides!AD$28)+(2000*(1-$C$7)*0.5*PriceSlides!$S21)</f>
        <v>69.731800766283527</v>
      </c>
      <c r="S21" s="44">
        <f>C21/Calculations!$D$13</f>
        <v>5.5555555555555552E-2</v>
      </c>
    </row>
    <row r="22" spans="2:33" s="34" customFormat="1" ht="15" customHeight="1" x14ac:dyDescent="0.25">
      <c r="B22" s="73"/>
      <c r="C22" s="48">
        <f t="shared" si="1"/>
        <v>110</v>
      </c>
      <c r="D22" s="46">
        <f>(2000*(1-$C$7)*0.5*PriceSlides!T$28)+(2000*(1-$C$7)*0.5*PriceSlides!$S22)</f>
        <v>35.756704980842912</v>
      </c>
      <c r="E22" s="46">
        <f>(2000*(1-$C$7)*0.5*PriceSlides!U$28)+(2000*(1-$C$7)*0.5*PriceSlides!$S22)</f>
        <v>39.348659003831415</v>
      </c>
      <c r="F22" s="46">
        <f>(2000*(1-$C$7)*0.5*PriceSlides!V$28)+(2000*(1-$C$7)*0.5*PriceSlides!$S22)</f>
        <v>42.940613026819925</v>
      </c>
      <c r="G22" s="46">
        <f>(2000*(1-$C$7)*0.5*PriceSlides!W$28)+(2000*(1-$C$7)*0.5*PriceSlides!$S22)</f>
        <v>46.532567049808428</v>
      </c>
      <c r="H22" s="46">
        <f>(2000*(1-$C$7)*0.5*PriceSlides!X$28)+(2000*(1-$C$7)*0.5*PriceSlides!$S22)</f>
        <v>50.124521072796938</v>
      </c>
      <c r="I22" s="46">
        <f>(2000*(1-$C$7)*0.5*PriceSlides!Y$28)+(2000*(1-$C$7)*0.5*PriceSlides!$S22)</f>
        <v>53.716475095785441</v>
      </c>
      <c r="J22" s="46">
        <f>(2000*(1-$C$7)*0.5*PriceSlides!Z$28)+(2000*(1-$C$7)*0.5*PriceSlides!$S22)</f>
        <v>57.308429118773944</v>
      </c>
      <c r="K22" s="46">
        <f>(2000*(1-$C$7)*0.5*PriceSlides!AA$28)+(2000*(1-$C$7)*0.5*PriceSlides!$S22)</f>
        <v>60.900383141762447</v>
      </c>
      <c r="L22" s="46">
        <f>(2000*(1-$C$7)*0.5*PriceSlides!AB$28)+(2000*(1-$C$7)*0.5*PriceSlides!$S22)</f>
        <v>64.492337164750964</v>
      </c>
      <c r="M22" s="46">
        <f>(2000*(1-$C$7)*0.5*PriceSlides!AC$28)+(2000*(1-$C$7)*0.5*PriceSlides!$S22)</f>
        <v>68.084291187739467</v>
      </c>
      <c r="N22" s="47">
        <f>(2000*(1-$C$7)*0.5*PriceSlides!AD$28)+(2000*(1-$C$7)*0.5*PriceSlides!$S22)</f>
        <v>71.67624521072797</v>
      </c>
      <c r="S22" s="44">
        <f>C22/Calculations!$D$13</f>
        <v>6.1111111111111109E-2</v>
      </c>
    </row>
    <row r="23" spans="2:33" s="34" customFormat="1" ht="15" customHeight="1" x14ac:dyDescent="0.25">
      <c r="B23" s="74"/>
      <c r="C23" s="43">
        <f t="shared" si="1"/>
        <v>120</v>
      </c>
      <c r="D23" s="49">
        <f>(2000*(1-$C$7)*0.5*PriceSlides!T$28)+(2000*(1-$C$7)*0.5*PriceSlides!$S23)</f>
        <v>37.701149425287355</v>
      </c>
      <c r="E23" s="49">
        <f>(2000*(1-$C$7)*0.5*PriceSlides!U$28)+(2000*(1-$C$7)*0.5*PriceSlides!$S23)</f>
        <v>41.293103448275858</v>
      </c>
      <c r="F23" s="49">
        <f>(2000*(1-$C$7)*0.5*PriceSlides!V$28)+(2000*(1-$C$7)*0.5*PriceSlides!$S23)</f>
        <v>44.885057471264368</v>
      </c>
      <c r="G23" s="49">
        <f>(2000*(1-$C$7)*0.5*PriceSlides!W$28)+(2000*(1-$C$7)*0.5*PriceSlides!$S23)</f>
        <v>48.477011494252871</v>
      </c>
      <c r="H23" s="49">
        <f>(2000*(1-$C$7)*0.5*PriceSlides!X$28)+(2000*(1-$C$7)*0.5*PriceSlides!$S23)</f>
        <v>52.068965517241381</v>
      </c>
      <c r="I23" s="49">
        <f>(2000*(1-$C$7)*0.5*PriceSlides!Y$28)+(2000*(1-$C$7)*0.5*PriceSlides!$S23)</f>
        <v>55.660919540229884</v>
      </c>
      <c r="J23" s="49">
        <f>(2000*(1-$C$7)*0.5*PriceSlides!Z$28)+(2000*(1-$C$7)*0.5*PriceSlides!$S23)</f>
        <v>59.252873563218387</v>
      </c>
      <c r="K23" s="49">
        <f>(2000*(1-$C$7)*0.5*PriceSlides!AA$28)+(2000*(1-$C$7)*0.5*PriceSlides!$S23)</f>
        <v>62.84482758620689</v>
      </c>
      <c r="L23" s="49">
        <f>(2000*(1-$C$7)*0.5*PriceSlides!AB$28)+(2000*(1-$C$7)*0.5*PriceSlides!$S23)</f>
        <v>66.436781609195407</v>
      </c>
      <c r="M23" s="49">
        <f>(2000*(1-$C$7)*0.5*PriceSlides!AC$28)+(2000*(1-$C$7)*0.5*PriceSlides!$S23)</f>
        <v>70.02873563218391</v>
      </c>
      <c r="N23" s="50">
        <f>(2000*(1-$C$7)*0.5*PriceSlides!AD$28)+(2000*(1-$C$7)*0.5*PriceSlides!$S23)</f>
        <v>73.620689655172413</v>
      </c>
      <c r="S23" s="44">
        <f>C23/Calculations!$D$13</f>
        <v>6.6666666666666666E-2</v>
      </c>
    </row>
    <row r="24" spans="2:33" s="34" customFormat="1" ht="15" customHeight="1" x14ac:dyDescent="0.25">
      <c r="B24" s="51"/>
      <c r="C24" s="5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S24" s="44"/>
    </row>
    <row r="25" spans="2:33" s="34" customFormat="1" ht="15" customHeight="1" x14ac:dyDescent="0.25">
      <c r="B25" s="51"/>
      <c r="C25" s="52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S25" s="44"/>
    </row>
    <row r="26" spans="2:33" s="34" customFormat="1" ht="21" x14ac:dyDescent="0.35">
      <c r="B26" s="35" t="s">
        <v>18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/>
    </row>
    <row r="27" spans="2:33" s="34" customFormat="1" ht="21" x14ac:dyDescent="0.35">
      <c r="B27" s="38"/>
      <c r="C27" s="39"/>
      <c r="D27" s="71" t="s">
        <v>69</v>
      </c>
      <c r="E27" s="71"/>
      <c r="F27" s="71"/>
      <c r="G27" s="71"/>
      <c r="H27" s="71"/>
      <c r="I27" s="71"/>
      <c r="J27" s="71"/>
      <c r="K27" s="71"/>
      <c r="L27" s="71"/>
      <c r="M27" s="71"/>
      <c r="N27" s="72"/>
      <c r="AG27" s="44"/>
    </row>
    <row r="28" spans="2:33" s="34" customFormat="1" x14ac:dyDescent="0.25">
      <c r="B28" s="38"/>
      <c r="C28" s="40"/>
      <c r="D28" s="41">
        <f>$C$8</f>
        <v>2</v>
      </c>
      <c r="E28" s="42">
        <f>D28+0.5</f>
        <v>2.5</v>
      </c>
      <c r="F28" s="42">
        <f t="shared" ref="F28:J28" si="2">E28+0.5</f>
        <v>3</v>
      </c>
      <c r="G28" s="42">
        <f t="shared" si="2"/>
        <v>3.5</v>
      </c>
      <c r="H28" s="42">
        <f t="shared" si="2"/>
        <v>4</v>
      </c>
      <c r="I28" s="42">
        <f t="shared" si="2"/>
        <v>4.5</v>
      </c>
      <c r="J28" s="42">
        <f t="shared" si="2"/>
        <v>5</v>
      </c>
      <c r="K28" s="42">
        <f t="shared" ref="K28:N28" si="3">J28+0.5</f>
        <v>5.5</v>
      </c>
      <c r="L28" s="42">
        <f t="shared" si="3"/>
        <v>6</v>
      </c>
      <c r="M28" s="42">
        <f t="shared" si="3"/>
        <v>6.5</v>
      </c>
      <c r="N28" s="43">
        <f t="shared" si="3"/>
        <v>7</v>
      </c>
      <c r="T28" s="44">
        <f>D28/Calculations!$D$8</f>
        <v>4.1050903119868636E-2</v>
      </c>
      <c r="U28" s="44">
        <f>E28/Calculations!$D$8</f>
        <v>5.1313628899835796E-2</v>
      </c>
      <c r="V28" s="44">
        <f>F28/Calculations!$D$8</f>
        <v>6.1576354679802957E-2</v>
      </c>
      <c r="W28" s="44">
        <f>G28/Calculations!$D$8</f>
        <v>7.183908045977011E-2</v>
      </c>
      <c r="X28" s="44">
        <f>H28/Calculations!$D$8</f>
        <v>8.2101806239737271E-2</v>
      </c>
      <c r="Y28" s="44">
        <f>I28/Calculations!$D$8</f>
        <v>9.2364532019704432E-2</v>
      </c>
      <c r="Z28" s="44">
        <f>J28/Calculations!$D$8</f>
        <v>0.10262725779967159</v>
      </c>
      <c r="AA28" s="44">
        <f>K28/Calculations!$D$8</f>
        <v>0.11288998357963875</v>
      </c>
      <c r="AB28" s="44">
        <f>L28/Calculations!$D$8</f>
        <v>0.12315270935960591</v>
      </c>
      <c r="AC28" s="44">
        <f>M28/Calculations!$D$8</f>
        <v>0.13341543513957307</v>
      </c>
      <c r="AD28" s="44">
        <f>N28/Calculations!$D$8</f>
        <v>0.14367816091954022</v>
      </c>
      <c r="AG28" s="44"/>
    </row>
    <row r="29" spans="2:33" s="34" customFormat="1" x14ac:dyDescent="0.25">
      <c r="B29" s="73" t="s">
        <v>70</v>
      </c>
      <c r="C29" s="45">
        <f>$C$9</f>
        <v>40</v>
      </c>
      <c r="D29" s="46">
        <f>(2000*(1-$C$7)*0.25*PriceSlides!T$28)+(2000*(1-$C$7)*0.75*PriceSlides!$S29)</f>
        <v>18.850574712643677</v>
      </c>
      <c r="E29" s="46">
        <f>(2000*(1-$C$7)*0.25*PriceSlides!U$28)+(2000*(1-$C$7)*0.75*PriceSlides!$S29)</f>
        <v>20.646551724137932</v>
      </c>
      <c r="F29" s="46">
        <f>(2000*(1-$C$7)*0.25*PriceSlides!V$28)+(2000*(1-$C$7)*0.75*PriceSlides!$S29)</f>
        <v>22.442528735632187</v>
      </c>
      <c r="G29" s="46">
        <f>(2000*(1-$C$7)*0.25*PriceSlides!W$28)+(2000*(1-$C$7)*0.75*PriceSlides!$S29)</f>
        <v>24.238505747126439</v>
      </c>
      <c r="H29" s="46">
        <f>(2000*(1-$C$7)*0.25*PriceSlides!X$28)+(2000*(1-$C$7)*0.75*PriceSlides!$S29)</f>
        <v>26.03448275862069</v>
      </c>
      <c r="I29" s="46">
        <f>(2000*(1-$C$7)*0.25*PriceSlides!Y$28)+(2000*(1-$C$7)*0.75*PriceSlides!$S29)</f>
        <v>27.830459770114942</v>
      </c>
      <c r="J29" s="46">
        <f>(2000*(1-$C$7)*0.25*PriceSlides!Z$28)+(2000*(1-$C$7)*0.75*PriceSlides!$S29)</f>
        <v>29.626436781609197</v>
      </c>
      <c r="K29" s="46">
        <f>(2000*(1-$C$7)*0.25*PriceSlides!AA$28)+(2000*(1-$C$7)*0.75*PriceSlides!$S29)</f>
        <v>31.422413793103448</v>
      </c>
      <c r="L29" s="46">
        <f>(2000*(1-$C$7)*0.25*PriceSlides!AB$28)+(2000*(1-$C$7)*0.75*PriceSlides!$S29)</f>
        <v>33.218390804597703</v>
      </c>
      <c r="M29" s="46">
        <f>(2000*(1-$C$7)*0.25*PriceSlides!AC$28)+(2000*(1-$C$7)*0.75*PriceSlides!$S29)</f>
        <v>35.014367816091955</v>
      </c>
      <c r="N29" s="47">
        <f>(2000*(1-$C$7)*0.25*PriceSlides!AD$28)+(2000*(1-$C$7)*0.75*PriceSlides!$S29)</f>
        <v>36.810344827586206</v>
      </c>
      <c r="S29" s="44">
        <f>C29/Calculations!$D$13</f>
        <v>2.2222222222222223E-2</v>
      </c>
    </row>
    <row r="30" spans="2:33" s="34" customFormat="1" x14ac:dyDescent="0.25">
      <c r="B30" s="73"/>
      <c r="C30" s="48">
        <f>C29+10</f>
        <v>50</v>
      </c>
      <c r="D30" s="46">
        <f>(2000*(1-$C$7)*0.25*PriceSlides!T$28)+(2000*(1-$C$7)*0.75*PriceSlides!$S30)</f>
        <v>21.767241379310342</v>
      </c>
      <c r="E30" s="46">
        <f>(2000*(1-$C$7)*0.25*PriceSlides!U$28)+(2000*(1-$C$7)*0.75*PriceSlides!$S30)</f>
        <v>23.563218390804597</v>
      </c>
      <c r="F30" s="46">
        <f>(2000*(1-$C$7)*0.25*PriceSlides!V$28)+(2000*(1-$C$7)*0.75*PriceSlides!$S30)</f>
        <v>25.359195402298852</v>
      </c>
      <c r="G30" s="46">
        <f>(2000*(1-$C$7)*0.25*PriceSlides!W$28)+(2000*(1-$C$7)*0.75*PriceSlides!$S30)</f>
        <v>27.155172413793103</v>
      </c>
      <c r="H30" s="46">
        <f>(2000*(1-$C$7)*0.25*PriceSlides!X$28)+(2000*(1-$C$7)*0.75*PriceSlides!$S30)</f>
        <v>28.951149425287355</v>
      </c>
      <c r="I30" s="46">
        <f>(2000*(1-$C$7)*0.25*PriceSlides!Y$28)+(2000*(1-$C$7)*0.75*PriceSlides!$S30)</f>
        <v>30.747126436781606</v>
      </c>
      <c r="J30" s="46">
        <f>(2000*(1-$C$7)*0.25*PriceSlides!Z$28)+(2000*(1-$C$7)*0.75*PriceSlides!$S30)</f>
        <v>32.543103448275858</v>
      </c>
      <c r="K30" s="46">
        <f>(2000*(1-$C$7)*0.25*PriceSlides!AA$28)+(2000*(1-$C$7)*0.75*PriceSlides!$S30)</f>
        <v>34.339080459770116</v>
      </c>
      <c r="L30" s="46">
        <f>(2000*(1-$C$7)*0.25*PriceSlides!AB$28)+(2000*(1-$C$7)*0.75*PriceSlides!$S30)</f>
        <v>36.135057471264368</v>
      </c>
      <c r="M30" s="46">
        <f>(2000*(1-$C$7)*0.25*PriceSlides!AC$28)+(2000*(1-$C$7)*0.75*PriceSlides!$S30)</f>
        <v>37.931034482758619</v>
      </c>
      <c r="N30" s="47">
        <f>(2000*(1-$C$7)*0.25*PriceSlides!AD$28)+(2000*(1-$C$7)*0.75*PriceSlides!$S30)</f>
        <v>39.727011494252871</v>
      </c>
      <c r="S30" s="44">
        <f>C30/Calculations!$D$13</f>
        <v>2.7777777777777776E-2</v>
      </c>
    </row>
    <row r="31" spans="2:33" s="34" customFormat="1" x14ac:dyDescent="0.25">
      <c r="B31" s="73"/>
      <c r="C31" s="48">
        <f t="shared" ref="C31:C37" si="4">C30+10</f>
        <v>60</v>
      </c>
      <c r="D31" s="46">
        <f>(2000*(1-$C$7)*0.25*PriceSlides!T$28)+(2000*(1-$C$7)*0.75*PriceSlides!$S31)</f>
        <v>24.683908045977013</v>
      </c>
      <c r="E31" s="46">
        <f>(2000*(1-$C$7)*0.25*PriceSlides!U$28)+(2000*(1-$C$7)*0.75*PriceSlides!$S31)</f>
        <v>26.479885057471265</v>
      </c>
      <c r="F31" s="46">
        <f>(2000*(1-$C$7)*0.25*PriceSlides!V$28)+(2000*(1-$C$7)*0.75*PriceSlides!$S31)</f>
        <v>28.275862068965516</v>
      </c>
      <c r="G31" s="46">
        <f>(2000*(1-$C$7)*0.25*PriceSlides!W$28)+(2000*(1-$C$7)*0.75*PriceSlides!$S31)</f>
        <v>30.071839080459768</v>
      </c>
      <c r="H31" s="46">
        <f>(2000*(1-$C$7)*0.25*PriceSlides!X$28)+(2000*(1-$C$7)*0.75*PriceSlides!$S31)</f>
        <v>31.867816091954023</v>
      </c>
      <c r="I31" s="46">
        <f>(2000*(1-$C$7)*0.25*PriceSlides!Y$28)+(2000*(1-$C$7)*0.75*PriceSlides!$S31)</f>
        <v>33.66379310344827</v>
      </c>
      <c r="J31" s="46">
        <f>(2000*(1-$C$7)*0.25*PriceSlides!Z$28)+(2000*(1-$C$7)*0.75*PriceSlides!$S31)</f>
        <v>35.459770114942529</v>
      </c>
      <c r="K31" s="46">
        <f>(2000*(1-$C$7)*0.25*PriceSlides!AA$28)+(2000*(1-$C$7)*0.75*PriceSlides!$S31)</f>
        <v>37.255747126436781</v>
      </c>
      <c r="L31" s="46">
        <f>(2000*(1-$C$7)*0.25*PriceSlides!AB$28)+(2000*(1-$C$7)*0.75*PriceSlides!$S31)</f>
        <v>39.051724137931032</v>
      </c>
      <c r="M31" s="46">
        <f>(2000*(1-$C$7)*0.25*PriceSlides!AC$28)+(2000*(1-$C$7)*0.75*PriceSlides!$S31)</f>
        <v>40.847701149425291</v>
      </c>
      <c r="N31" s="47">
        <f>(2000*(1-$C$7)*0.25*PriceSlides!AD$28)+(2000*(1-$C$7)*0.75*PriceSlides!$S31)</f>
        <v>42.643678160919535</v>
      </c>
      <c r="S31" s="44">
        <f>C31/Calculations!$D$13</f>
        <v>3.3333333333333333E-2</v>
      </c>
    </row>
    <row r="32" spans="2:33" s="34" customFormat="1" x14ac:dyDescent="0.25">
      <c r="B32" s="73"/>
      <c r="C32" s="48">
        <f t="shared" si="4"/>
        <v>70</v>
      </c>
      <c r="D32" s="46">
        <f>(2000*(1-$C$7)*0.25*PriceSlides!T$28)+(2000*(1-$C$7)*0.75*PriceSlides!$S32)</f>
        <v>27.600574712643677</v>
      </c>
      <c r="E32" s="46">
        <f>(2000*(1-$C$7)*0.25*PriceSlides!U$28)+(2000*(1-$C$7)*0.75*PriceSlides!$S32)</f>
        <v>29.396551724137932</v>
      </c>
      <c r="F32" s="46">
        <f>(2000*(1-$C$7)*0.25*PriceSlides!V$28)+(2000*(1-$C$7)*0.75*PriceSlides!$S32)</f>
        <v>31.192528735632187</v>
      </c>
      <c r="G32" s="46">
        <f>(2000*(1-$C$7)*0.25*PriceSlides!W$28)+(2000*(1-$C$7)*0.75*PriceSlides!$S32)</f>
        <v>32.988505747126439</v>
      </c>
      <c r="H32" s="46">
        <f>(2000*(1-$C$7)*0.25*PriceSlides!X$28)+(2000*(1-$C$7)*0.75*PriceSlides!$S32)</f>
        <v>34.78448275862069</v>
      </c>
      <c r="I32" s="46">
        <f>(2000*(1-$C$7)*0.25*PriceSlides!Y$28)+(2000*(1-$C$7)*0.75*PriceSlides!$S32)</f>
        <v>36.580459770114942</v>
      </c>
      <c r="J32" s="46">
        <f>(2000*(1-$C$7)*0.25*PriceSlides!Z$28)+(2000*(1-$C$7)*0.75*PriceSlides!$S32)</f>
        <v>38.3764367816092</v>
      </c>
      <c r="K32" s="46">
        <f>(2000*(1-$C$7)*0.25*PriceSlides!AA$28)+(2000*(1-$C$7)*0.75*PriceSlides!$S32)</f>
        <v>40.172413793103445</v>
      </c>
      <c r="L32" s="46">
        <f>(2000*(1-$C$7)*0.25*PriceSlides!AB$28)+(2000*(1-$C$7)*0.75*PriceSlides!$S32)</f>
        <v>41.968390804597703</v>
      </c>
      <c r="M32" s="46">
        <f>(2000*(1-$C$7)*0.25*PriceSlides!AC$28)+(2000*(1-$C$7)*0.75*PriceSlides!$S32)</f>
        <v>43.764367816091955</v>
      </c>
      <c r="N32" s="47">
        <f>(2000*(1-$C$7)*0.25*PriceSlides!AD$28)+(2000*(1-$C$7)*0.75*PriceSlides!$S32)</f>
        <v>45.560344827586206</v>
      </c>
      <c r="S32" s="44">
        <f>C32/Calculations!$D$13</f>
        <v>3.888888888888889E-2</v>
      </c>
    </row>
    <row r="33" spans="2:30" s="34" customFormat="1" x14ac:dyDescent="0.25">
      <c r="B33" s="73"/>
      <c r="C33" s="48">
        <f t="shared" si="4"/>
        <v>80</v>
      </c>
      <c r="D33" s="46">
        <f>(2000*(1-$C$7)*0.25*PriceSlides!T$28)+(2000*(1-$C$7)*0.75*PriceSlides!$S33)</f>
        <v>30.517241379310349</v>
      </c>
      <c r="E33" s="46">
        <f>(2000*(1-$C$7)*0.25*PriceSlides!U$28)+(2000*(1-$C$7)*0.75*PriceSlides!$S33)</f>
        <v>32.3132183908046</v>
      </c>
      <c r="F33" s="46">
        <f>(2000*(1-$C$7)*0.25*PriceSlides!V$28)+(2000*(1-$C$7)*0.75*PriceSlides!$S33)</f>
        <v>34.109195402298852</v>
      </c>
      <c r="G33" s="46">
        <f>(2000*(1-$C$7)*0.25*PriceSlides!W$28)+(2000*(1-$C$7)*0.75*PriceSlides!$S33)</f>
        <v>35.905172413793103</v>
      </c>
      <c r="H33" s="46">
        <f>(2000*(1-$C$7)*0.25*PriceSlides!X$28)+(2000*(1-$C$7)*0.75*PriceSlides!$S33)</f>
        <v>37.701149425287355</v>
      </c>
      <c r="I33" s="46">
        <f>(2000*(1-$C$7)*0.25*PriceSlides!Y$28)+(2000*(1-$C$7)*0.75*PriceSlides!$S33)</f>
        <v>39.497126436781613</v>
      </c>
      <c r="J33" s="46">
        <f>(2000*(1-$C$7)*0.25*PriceSlides!Z$28)+(2000*(1-$C$7)*0.75*PriceSlides!$S33)</f>
        <v>41.293103448275865</v>
      </c>
      <c r="K33" s="46">
        <f>(2000*(1-$C$7)*0.25*PriceSlides!AA$28)+(2000*(1-$C$7)*0.75*PriceSlides!$S33)</f>
        <v>43.089080459770116</v>
      </c>
      <c r="L33" s="46">
        <f>(2000*(1-$C$7)*0.25*PriceSlides!AB$28)+(2000*(1-$C$7)*0.75*PriceSlides!$S33)</f>
        <v>44.885057471264375</v>
      </c>
      <c r="M33" s="46">
        <f>(2000*(1-$C$7)*0.25*PriceSlides!AC$28)+(2000*(1-$C$7)*0.75*PriceSlides!$S33)</f>
        <v>46.681034482758619</v>
      </c>
      <c r="N33" s="47">
        <f>(2000*(1-$C$7)*0.25*PriceSlides!AD$28)+(2000*(1-$C$7)*0.75*PriceSlides!$S33)</f>
        <v>48.477011494252878</v>
      </c>
      <c r="S33" s="44">
        <f>C33/Calculations!$D$13</f>
        <v>4.4444444444444446E-2</v>
      </c>
    </row>
    <row r="34" spans="2:30" s="34" customFormat="1" x14ac:dyDescent="0.25">
      <c r="B34" s="73"/>
      <c r="C34" s="48">
        <f t="shared" si="4"/>
        <v>90</v>
      </c>
      <c r="D34" s="46">
        <f>(2000*(1-$C$7)*0.25*PriceSlides!T$28)+(2000*(1-$C$7)*0.75*PriceSlides!$S34)</f>
        <v>33.433908045977013</v>
      </c>
      <c r="E34" s="46">
        <f>(2000*(1-$C$7)*0.25*PriceSlides!U$28)+(2000*(1-$C$7)*0.75*PriceSlides!$S34)</f>
        <v>35.229885057471265</v>
      </c>
      <c r="F34" s="46">
        <f>(2000*(1-$C$7)*0.25*PriceSlides!V$28)+(2000*(1-$C$7)*0.75*PriceSlides!$S34)</f>
        <v>37.025862068965516</v>
      </c>
      <c r="G34" s="46">
        <f>(2000*(1-$C$7)*0.25*PriceSlides!W$28)+(2000*(1-$C$7)*0.75*PriceSlides!$S34)</f>
        <v>38.821839080459768</v>
      </c>
      <c r="H34" s="46">
        <f>(2000*(1-$C$7)*0.25*PriceSlides!X$28)+(2000*(1-$C$7)*0.75*PriceSlides!$S34)</f>
        <v>40.617816091954026</v>
      </c>
      <c r="I34" s="46">
        <f>(2000*(1-$C$7)*0.25*PriceSlides!Y$28)+(2000*(1-$C$7)*0.75*PriceSlides!$S34)</f>
        <v>42.41379310344827</v>
      </c>
      <c r="J34" s="46">
        <f>(2000*(1-$C$7)*0.25*PriceSlides!Z$28)+(2000*(1-$C$7)*0.75*PriceSlides!$S34)</f>
        <v>44.209770114942529</v>
      </c>
      <c r="K34" s="46">
        <f>(2000*(1-$C$7)*0.25*PriceSlides!AA$28)+(2000*(1-$C$7)*0.75*PriceSlides!$S34)</f>
        <v>46.005747126436781</v>
      </c>
      <c r="L34" s="46">
        <f>(2000*(1-$C$7)*0.25*PriceSlides!AB$28)+(2000*(1-$C$7)*0.75*PriceSlides!$S34)</f>
        <v>47.801724137931032</v>
      </c>
      <c r="M34" s="46">
        <f>(2000*(1-$C$7)*0.25*PriceSlides!AC$28)+(2000*(1-$C$7)*0.75*PriceSlides!$S34)</f>
        <v>49.597701149425291</v>
      </c>
      <c r="N34" s="47">
        <f>(2000*(1-$C$7)*0.25*PriceSlides!AD$28)+(2000*(1-$C$7)*0.75*PriceSlides!$S34)</f>
        <v>51.393678160919535</v>
      </c>
      <c r="S34" s="44">
        <f>C34/Calculations!$D$13</f>
        <v>0.05</v>
      </c>
    </row>
    <row r="35" spans="2:30" s="34" customFormat="1" x14ac:dyDescent="0.25">
      <c r="B35" s="73"/>
      <c r="C35" s="48">
        <f t="shared" si="4"/>
        <v>100</v>
      </c>
      <c r="D35" s="46">
        <f>(2000*(1-$C$7)*0.25*PriceSlides!T$28)+(2000*(1-$C$7)*0.75*PriceSlides!$S35)</f>
        <v>36.350574712643677</v>
      </c>
      <c r="E35" s="46">
        <f>(2000*(1-$C$7)*0.25*PriceSlides!U$28)+(2000*(1-$C$7)*0.75*PriceSlides!$S35)</f>
        <v>38.146551724137929</v>
      </c>
      <c r="F35" s="46">
        <f>(2000*(1-$C$7)*0.25*PriceSlides!V$28)+(2000*(1-$C$7)*0.75*PriceSlides!$S35)</f>
        <v>39.94252873563218</v>
      </c>
      <c r="G35" s="46">
        <f>(2000*(1-$C$7)*0.25*PriceSlides!W$28)+(2000*(1-$C$7)*0.75*PriceSlides!$S35)</f>
        <v>41.738505747126432</v>
      </c>
      <c r="H35" s="46">
        <f>(2000*(1-$C$7)*0.25*PriceSlides!X$28)+(2000*(1-$C$7)*0.75*PriceSlides!$S35)</f>
        <v>43.534482758620683</v>
      </c>
      <c r="I35" s="46">
        <f>(2000*(1-$C$7)*0.25*PriceSlides!Y$28)+(2000*(1-$C$7)*0.75*PriceSlides!$S35)</f>
        <v>45.330459770114942</v>
      </c>
      <c r="J35" s="46">
        <f>(2000*(1-$C$7)*0.25*PriceSlides!Z$28)+(2000*(1-$C$7)*0.75*PriceSlides!$S35)</f>
        <v>47.126436781609193</v>
      </c>
      <c r="K35" s="46">
        <f>(2000*(1-$C$7)*0.25*PriceSlides!AA$28)+(2000*(1-$C$7)*0.75*PriceSlides!$S35)</f>
        <v>48.922413793103445</v>
      </c>
      <c r="L35" s="46">
        <f>(2000*(1-$C$7)*0.25*PriceSlides!AB$28)+(2000*(1-$C$7)*0.75*PriceSlides!$S35)</f>
        <v>50.718390804597703</v>
      </c>
      <c r="M35" s="46">
        <f>(2000*(1-$C$7)*0.25*PriceSlides!AC$28)+(2000*(1-$C$7)*0.75*PriceSlides!$S35)</f>
        <v>52.514367816091948</v>
      </c>
      <c r="N35" s="47">
        <f>(2000*(1-$C$7)*0.25*PriceSlides!AD$28)+(2000*(1-$C$7)*0.75*PriceSlides!$S35)</f>
        <v>54.310344827586206</v>
      </c>
      <c r="S35" s="44">
        <f>C35/Calculations!$D$13</f>
        <v>5.5555555555555552E-2</v>
      </c>
    </row>
    <row r="36" spans="2:30" s="34" customFormat="1" x14ac:dyDescent="0.25">
      <c r="B36" s="73"/>
      <c r="C36" s="48">
        <f t="shared" si="4"/>
        <v>110</v>
      </c>
      <c r="D36" s="46">
        <f>(2000*(1-$C$7)*0.25*PriceSlides!T$28)+(2000*(1-$C$7)*0.75*PriceSlides!$S36)</f>
        <v>39.267241379310349</v>
      </c>
      <c r="E36" s="46">
        <f>(2000*(1-$C$7)*0.25*PriceSlides!U$28)+(2000*(1-$C$7)*0.75*PriceSlides!$S36)</f>
        <v>41.0632183908046</v>
      </c>
      <c r="F36" s="46">
        <f>(2000*(1-$C$7)*0.25*PriceSlides!V$28)+(2000*(1-$C$7)*0.75*PriceSlides!$S36)</f>
        <v>42.859195402298852</v>
      </c>
      <c r="G36" s="46">
        <f>(2000*(1-$C$7)*0.25*PriceSlides!W$28)+(2000*(1-$C$7)*0.75*PriceSlides!$S36)</f>
        <v>44.655172413793103</v>
      </c>
      <c r="H36" s="46">
        <f>(2000*(1-$C$7)*0.25*PriceSlides!X$28)+(2000*(1-$C$7)*0.75*PriceSlides!$S36)</f>
        <v>46.451149425287355</v>
      </c>
      <c r="I36" s="46">
        <f>(2000*(1-$C$7)*0.25*PriceSlides!Y$28)+(2000*(1-$C$7)*0.75*PriceSlides!$S36)</f>
        <v>48.247126436781613</v>
      </c>
      <c r="J36" s="46">
        <f>(2000*(1-$C$7)*0.25*PriceSlides!Z$28)+(2000*(1-$C$7)*0.75*PriceSlides!$S36)</f>
        <v>50.043103448275865</v>
      </c>
      <c r="K36" s="46">
        <f>(2000*(1-$C$7)*0.25*PriceSlides!AA$28)+(2000*(1-$C$7)*0.75*PriceSlides!$S36)</f>
        <v>51.839080459770116</v>
      </c>
      <c r="L36" s="46">
        <f>(2000*(1-$C$7)*0.25*PriceSlides!AB$28)+(2000*(1-$C$7)*0.75*PriceSlides!$S36)</f>
        <v>53.635057471264375</v>
      </c>
      <c r="M36" s="46">
        <f>(2000*(1-$C$7)*0.25*PriceSlides!AC$28)+(2000*(1-$C$7)*0.75*PriceSlides!$S36)</f>
        <v>55.431034482758619</v>
      </c>
      <c r="N36" s="47">
        <f>(2000*(1-$C$7)*0.25*PriceSlides!AD$28)+(2000*(1-$C$7)*0.75*PriceSlides!$S36)</f>
        <v>57.227011494252878</v>
      </c>
      <c r="S36" s="44">
        <f>C36/Calculations!$D$13</f>
        <v>6.1111111111111109E-2</v>
      </c>
    </row>
    <row r="37" spans="2:30" s="34" customFormat="1" x14ac:dyDescent="0.25">
      <c r="B37" s="74"/>
      <c r="C37" s="43">
        <f t="shared" si="4"/>
        <v>120</v>
      </c>
      <c r="D37" s="49">
        <f>(2000*(1-$C$7)*0.25*PriceSlides!T$28)+(2000*(1-$C$7)*0.75*PriceSlides!$S37)</f>
        <v>42.183908045977013</v>
      </c>
      <c r="E37" s="49">
        <f>(2000*(1-$C$7)*0.25*PriceSlides!U$28)+(2000*(1-$C$7)*0.75*PriceSlides!$S37)</f>
        <v>43.979885057471265</v>
      </c>
      <c r="F37" s="49">
        <f>(2000*(1-$C$7)*0.25*PriceSlides!V$28)+(2000*(1-$C$7)*0.75*PriceSlides!$S37)</f>
        <v>45.775862068965516</v>
      </c>
      <c r="G37" s="49">
        <f>(2000*(1-$C$7)*0.25*PriceSlides!W$28)+(2000*(1-$C$7)*0.75*PriceSlides!$S37)</f>
        <v>47.571839080459768</v>
      </c>
      <c r="H37" s="49">
        <f>(2000*(1-$C$7)*0.25*PriceSlides!X$28)+(2000*(1-$C$7)*0.75*PriceSlides!$S37)</f>
        <v>49.367816091954026</v>
      </c>
      <c r="I37" s="49">
        <f>(2000*(1-$C$7)*0.25*PriceSlides!Y$28)+(2000*(1-$C$7)*0.75*PriceSlides!$S37)</f>
        <v>51.16379310344827</v>
      </c>
      <c r="J37" s="49">
        <f>(2000*(1-$C$7)*0.25*PriceSlides!Z$28)+(2000*(1-$C$7)*0.75*PriceSlides!$S37)</f>
        <v>52.959770114942529</v>
      </c>
      <c r="K37" s="49">
        <f>(2000*(1-$C$7)*0.25*PriceSlides!AA$28)+(2000*(1-$C$7)*0.75*PriceSlides!$S37)</f>
        <v>54.755747126436781</v>
      </c>
      <c r="L37" s="49">
        <f>(2000*(1-$C$7)*0.25*PriceSlides!AB$28)+(2000*(1-$C$7)*0.75*PriceSlides!$S37)</f>
        <v>56.551724137931032</v>
      </c>
      <c r="M37" s="49">
        <f>(2000*(1-$C$7)*0.25*PriceSlides!AC$28)+(2000*(1-$C$7)*0.75*PriceSlides!$S37)</f>
        <v>58.347701149425291</v>
      </c>
      <c r="N37" s="50">
        <f>(2000*(1-$C$7)*0.25*PriceSlides!AD$28)+(2000*(1-$C$7)*0.75*PriceSlides!$S37)</f>
        <v>60.143678160919535</v>
      </c>
      <c r="S37" s="44">
        <f>C37/Calculations!$D$13</f>
        <v>6.6666666666666666E-2</v>
      </c>
    </row>
    <row r="38" spans="2:30" s="34" customFormat="1" x14ac:dyDescent="0.25"/>
    <row r="39" spans="2:30" s="34" customFormat="1" x14ac:dyDescent="0.25"/>
    <row r="40" spans="2:30" s="34" customFormat="1" ht="21" x14ac:dyDescent="0.35">
      <c r="B40" s="35" t="s">
        <v>72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</row>
    <row r="41" spans="2:30" s="34" customFormat="1" ht="21" x14ac:dyDescent="0.35">
      <c r="B41" s="38"/>
      <c r="C41" s="39"/>
      <c r="D41" s="71" t="s">
        <v>69</v>
      </c>
      <c r="E41" s="71"/>
      <c r="F41" s="71"/>
      <c r="G41" s="71"/>
      <c r="H41" s="71"/>
      <c r="I41" s="71"/>
      <c r="J41" s="71"/>
      <c r="K41" s="71"/>
      <c r="L41" s="71"/>
      <c r="M41" s="71"/>
      <c r="N41" s="72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</row>
    <row r="42" spans="2:30" s="34" customFormat="1" x14ac:dyDescent="0.25">
      <c r="B42" s="38"/>
      <c r="C42" s="40"/>
      <c r="D42" s="41">
        <f>$C$8</f>
        <v>2</v>
      </c>
      <c r="E42" s="42">
        <f>D42+0.5</f>
        <v>2.5</v>
      </c>
      <c r="F42" s="42">
        <f t="shared" ref="F42:N42" si="5">E42+0.5</f>
        <v>3</v>
      </c>
      <c r="G42" s="42">
        <f t="shared" si="5"/>
        <v>3.5</v>
      </c>
      <c r="H42" s="42">
        <f t="shared" si="5"/>
        <v>4</v>
      </c>
      <c r="I42" s="42">
        <f t="shared" si="5"/>
        <v>4.5</v>
      </c>
      <c r="J42" s="42">
        <f t="shared" si="5"/>
        <v>5</v>
      </c>
      <c r="K42" s="42">
        <f t="shared" si="5"/>
        <v>5.5</v>
      </c>
      <c r="L42" s="42">
        <f t="shared" si="5"/>
        <v>6</v>
      </c>
      <c r="M42" s="42">
        <f t="shared" si="5"/>
        <v>6.5</v>
      </c>
      <c r="N42" s="43">
        <f t="shared" si="5"/>
        <v>7</v>
      </c>
      <c r="T42" s="44">
        <f>D42/Calculations!$D$8</f>
        <v>4.1050903119868636E-2</v>
      </c>
      <c r="U42" s="44">
        <f>E42/Calculations!$D$8</f>
        <v>5.1313628899835796E-2</v>
      </c>
      <c r="V42" s="44">
        <f>F42/Calculations!$D$8</f>
        <v>6.1576354679802957E-2</v>
      </c>
      <c r="W42" s="44">
        <f>G42/Calculations!$D$8</f>
        <v>7.183908045977011E-2</v>
      </c>
      <c r="X42" s="44">
        <f>H42/Calculations!$D$8</f>
        <v>8.2101806239737271E-2</v>
      </c>
      <c r="Y42" s="44">
        <f>I42/Calculations!$D$8</f>
        <v>9.2364532019704432E-2</v>
      </c>
      <c r="Z42" s="44">
        <f>J42/Calculations!$D$8</f>
        <v>0.10262725779967159</v>
      </c>
      <c r="AA42" s="44">
        <f>K42/Calculations!$D$8</f>
        <v>0.11288998357963875</v>
      </c>
      <c r="AB42" s="44">
        <f>L42/Calculations!$D$8</f>
        <v>0.12315270935960591</v>
      </c>
      <c r="AC42" s="44">
        <f>M42/Calculations!$D$8</f>
        <v>0.13341543513957307</v>
      </c>
      <c r="AD42" s="44">
        <f>N42/Calculations!$D$8</f>
        <v>0.14367816091954022</v>
      </c>
    </row>
    <row r="43" spans="2:30" s="34" customFormat="1" x14ac:dyDescent="0.25">
      <c r="B43" s="73" t="s">
        <v>70</v>
      </c>
      <c r="C43" s="45">
        <f>$C$9</f>
        <v>40</v>
      </c>
      <c r="D43" s="46">
        <f>(2000*(1-$C$7)*0*PriceSlides!T$28)+(2000*(1-$C$7)*PriceSlides!$S43)</f>
        <v>15.555555555555555</v>
      </c>
      <c r="E43" s="46">
        <f>(2000*(1-$C$7)*0*PriceSlides!U$28)+(2000*(1-$C$7)*PriceSlides!$S43)</f>
        <v>15.555555555555555</v>
      </c>
      <c r="F43" s="46">
        <f>(2000*(1-$C$7)*0*PriceSlides!V$28)+(2000*(1-$C$7)*PriceSlides!$S43)</f>
        <v>15.555555555555555</v>
      </c>
      <c r="G43" s="46">
        <f>(2000*(1-$C$7)*0*PriceSlides!W$28)+(2000*(1-$C$7)*PriceSlides!$S43)</f>
        <v>15.555555555555555</v>
      </c>
      <c r="H43" s="46">
        <f>(2000*(1-$C$7)*0*PriceSlides!X$28)+(2000*(1-$C$7)*PriceSlides!$S43)</f>
        <v>15.555555555555555</v>
      </c>
      <c r="I43" s="46">
        <f>(2000*(1-$C$7)*0*PriceSlides!Y$28)+(2000*(1-$C$7)*PriceSlides!$S43)</f>
        <v>15.555555555555555</v>
      </c>
      <c r="J43" s="46">
        <f>(2000*(1-$C$7)*0*PriceSlides!Z$28)+(2000*(1-$C$7)*PriceSlides!$S43)</f>
        <v>15.555555555555555</v>
      </c>
      <c r="K43" s="46">
        <f>(2000*(1-$C$7)*0*PriceSlides!AA$28)+(2000*(1-$C$7)*PriceSlides!$S43)</f>
        <v>15.555555555555555</v>
      </c>
      <c r="L43" s="46">
        <f>(2000*(1-$C$7)*0*PriceSlides!AB$28)+(2000*(1-$C$7)*PriceSlides!$S43)</f>
        <v>15.555555555555555</v>
      </c>
      <c r="M43" s="46">
        <f>(2000*(1-$C$7)*0*PriceSlides!AC$28)+(2000*(1-$C$7)*PriceSlides!$S43)</f>
        <v>15.555555555555555</v>
      </c>
      <c r="N43" s="47">
        <f>(2000*(1-$C$7)*0*PriceSlides!AD$28)+(2000*(1-$C$7)*PriceSlides!$S43)</f>
        <v>15.555555555555555</v>
      </c>
      <c r="S43" s="44">
        <f>C43/Calculations!$D$13</f>
        <v>2.2222222222222223E-2</v>
      </c>
    </row>
    <row r="44" spans="2:30" s="34" customFormat="1" x14ac:dyDescent="0.25">
      <c r="B44" s="73"/>
      <c r="C44" s="48">
        <f>C43+10</f>
        <v>50</v>
      </c>
      <c r="D44" s="46">
        <f>(2000*(1-$C$7)*0*PriceSlides!T$28)+(2000*(1-$C$7)*PriceSlides!$S44)</f>
        <v>19.444444444444443</v>
      </c>
      <c r="E44" s="46">
        <f>(2000*(1-$C$7)*0*PriceSlides!U$28)+(2000*(1-$C$7)*PriceSlides!$S44)</f>
        <v>19.444444444444443</v>
      </c>
      <c r="F44" s="46">
        <f>(2000*(1-$C$7)*0*PriceSlides!V$28)+(2000*(1-$C$7)*PriceSlides!$S44)</f>
        <v>19.444444444444443</v>
      </c>
      <c r="G44" s="46">
        <f>(2000*(1-$C$7)*0*PriceSlides!W$28)+(2000*(1-$C$7)*PriceSlides!$S44)</f>
        <v>19.444444444444443</v>
      </c>
      <c r="H44" s="46">
        <f>(2000*(1-$C$7)*0*PriceSlides!X$28)+(2000*(1-$C$7)*PriceSlides!$S44)</f>
        <v>19.444444444444443</v>
      </c>
      <c r="I44" s="46">
        <f>(2000*(1-$C$7)*0*PriceSlides!Y$28)+(2000*(1-$C$7)*PriceSlides!$S44)</f>
        <v>19.444444444444443</v>
      </c>
      <c r="J44" s="46">
        <f>(2000*(1-$C$7)*0*PriceSlides!Z$28)+(2000*(1-$C$7)*PriceSlides!$S44)</f>
        <v>19.444444444444443</v>
      </c>
      <c r="K44" s="46">
        <f>(2000*(1-$C$7)*0*PriceSlides!AA$28)+(2000*(1-$C$7)*PriceSlides!$S44)</f>
        <v>19.444444444444443</v>
      </c>
      <c r="L44" s="46">
        <f>(2000*(1-$C$7)*0*PriceSlides!AB$28)+(2000*(1-$C$7)*PriceSlides!$S44)</f>
        <v>19.444444444444443</v>
      </c>
      <c r="M44" s="46">
        <f>(2000*(1-$C$7)*0*PriceSlides!AC$28)+(2000*(1-$C$7)*PriceSlides!$S44)</f>
        <v>19.444444444444443</v>
      </c>
      <c r="N44" s="47">
        <f>(2000*(1-$C$7)*0*PriceSlides!AD$28)+(2000*(1-$C$7)*PriceSlides!$S44)</f>
        <v>19.444444444444443</v>
      </c>
      <c r="S44" s="44">
        <f>C44/Calculations!$D$13</f>
        <v>2.7777777777777776E-2</v>
      </c>
    </row>
    <row r="45" spans="2:30" s="34" customFormat="1" x14ac:dyDescent="0.25">
      <c r="B45" s="73"/>
      <c r="C45" s="48">
        <f t="shared" ref="C45:C51" si="6">C44+10</f>
        <v>60</v>
      </c>
      <c r="D45" s="46">
        <f>(2000*(1-$C$7)*0*PriceSlides!T$28)+(2000*(1-$C$7)*PriceSlides!$S45)</f>
        <v>23.333333333333332</v>
      </c>
      <c r="E45" s="46">
        <f>(2000*(1-$C$7)*0*PriceSlides!U$28)+(2000*(1-$C$7)*PriceSlides!$S45)</f>
        <v>23.333333333333332</v>
      </c>
      <c r="F45" s="46">
        <f>(2000*(1-$C$7)*0*PriceSlides!V$28)+(2000*(1-$C$7)*PriceSlides!$S45)</f>
        <v>23.333333333333332</v>
      </c>
      <c r="G45" s="46">
        <f>(2000*(1-$C$7)*0*PriceSlides!W$28)+(2000*(1-$C$7)*PriceSlides!$S45)</f>
        <v>23.333333333333332</v>
      </c>
      <c r="H45" s="46">
        <f>(2000*(1-$C$7)*0*PriceSlides!X$28)+(2000*(1-$C$7)*PriceSlides!$S45)</f>
        <v>23.333333333333332</v>
      </c>
      <c r="I45" s="46">
        <f>(2000*(1-$C$7)*0*PriceSlides!Y$28)+(2000*(1-$C$7)*PriceSlides!$S45)</f>
        <v>23.333333333333332</v>
      </c>
      <c r="J45" s="46">
        <f>(2000*(1-$C$7)*0*PriceSlides!Z$28)+(2000*(1-$C$7)*PriceSlides!$S45)</f>
        <v>23.333333333333332</v>
      </c>
      <c r="K45" s="46">
        <f>(2000*(1-$C$7)*0*PriceSlides!AA$28)+(2000*(1-$C$7)*PriceSlides!$S45)</f>
        <v>23.333333333333332</v>
      </c>
      <c r="L45" s="46">
        <f>(2000*(1-$C$7)*0*PriceSlides!AB$28)+(2000*(1-$C$7)*PriceSlides!$S45)</f>
        <v>23.333333333333332</v>
      </c>
      <c r="M45" s="46">
        <f>(2000*(1-$C$7)*0*PriceSlides!AC$28)+(2000*(1-$C$7)*PriceSlides!$S45)</f>
        <v>23.333333333333332</v>
      </c>
      <c r="N45" s="47">
        <f>(2000*(1-$C$7)*0*PriceSlides!AD$28)+(2000*(1-$C$7)*PriceSlides!$S45)</f>
        <v>23.333333333333332</v>
      </c>
      <c r="S45" s="44">
        <f>C45/Calculations!$D$13</f>
        <v>3.3333333333333333E-2</v>
      </c>
    </row>
    <row r="46" spans="2:30" s="34" customFormat="1" x14ac:dyDescent="0.25">
      <c r="B46" s="73"/>
      <c r="C46" s="48">
        <f t="shared" si="6"/>
        <v>70</v>
      </c>
      <c r="D46" s="46">
        <f>(2000*(1-$C$7)*0*PriceSlides!T$28)+(2000*(1-$C$7)*PriceSlides!$S46)</f>
        <v>27.222222222222221</v>
      </c>
      <c r="E46" s="46">
        <f>(2000*(1-$C$7)*0*PriceSlides!U$28)+(2000*(1-$C$7)*PriceSlides!$S46)</f>
        <v>27.222222222222221</v>
      </c>
      <c r="F46" s="46">
        <f>(2000*(1-$C$7)*0*PriceSlides!V$28)+(2000*(1-$C$7)*PriceSlides!$S46)</f>
        <v>27.222222222222221</v>
      </c>
      <c r="G46" s="46">
        <f>(2000*(1-$C$7)*0*PriceSlides!W$28)+(2000*(1-$C$7)*PriceSlides!$S46)</f>
        <v>27.222222222222221</v>
      </c>
      <c r="H46" s="46">
        <f>(2000*(1-$C$7)*0*PriceSlides!X$28)+(2000*(1-$C$7)*PriceSlides!$S46)</f>
        <v>27.222222222222221</v>
      </c>
      <c r="I46" s="46">
        <f>(2000*(1-$C$7)*0*PriceSlides!Y$28)+(2000*(1-$C$7)*PriceSlides!$S46)</f>
        <v>27.222222222222221</v>
      </c>
      <c r="J46" s="46">
        <f>(2000*(1-$C$7)*0*PriceSlides!Z$28)+(2000*(1-$C$7)*PriceSlides!$S46)</f>
        <v>27.222222222222221</v>
      </c>
      <c r="K46" s="46">
        <f>(2000*(1-$C$7)*0*PriceSlides!AA$28)+(2000*(1-$C$7)*PriceSlides!$S46)</f>
        <v>27.222222222222221</v>
      </c>
      <c r="L46" s="46">
        <f>(2000*(1-$C$7)*0*PriceSlides!AB$28)+(2000*(1-$C$7)*PriceSlides!$S46)</f>
        <v>27.222222222222221</v>
      </c>
      <c r="M46" s="46">
        <f>(2000*(1-$C$7)*0*PriceSlides!AC$28)+(2000*(1-$C$7)*PriceSlides!$S46)</f>
        <v>27.222222222222221</v>
      </c>
      <c r="N46" s="47">
        <f>(2000*(1-$C$7)*0*PriceSlides!AD$28)+(2000*(1-$C$7)*PriceSlides!$S46)</f>
        <v>27.222222222222221</v>
      </c>
      <c r="S46" s="44">
        <f>C46/Calculations!$D$13</f>
        <v>3.888888888888889E-2</v>
      </c>
    </row>
    <row r="47" spans="2:30" s="34" customFormat="1" x14ac:dyDescent="0.25">
      <c r="B47" s="73"/>
      <c r="C47" s="48">
        <f t="shared" si="6"/>
        <v>80</v>
      </c>
      <c r="D47" s="46">
        <f>(2000*(1-$C$7)*0*PriceSlides!T$28)+(2000*(1-$C$7)*PriceSlides!$S47)</f>
        <v>31.111111111111111</v>
      </c>
      <c r="E47" s="46">
        <f>(2000*(1-$C$7)*0*PriceSlides!U$28)+(2000*(1-$C$7)*PriceSlides!$S47)</f>
        <v>31.111111111111111</v>
      </c>
      <c r="F47" s="46">
        <f>(2000*(1-$C$7)*0*PriceSlides!V$28)+(2000*(1-$C$7)*PriceSlides!$S47)</f>
        <v>31.111111111111111</v>
      </c>
      <c r="G47" s="46">
        <f>(2000*(1-$C$7)*0*PriceSlides!W$28)+(2000*(1-$C$7)*PriceSlides!$S47)</f>
        <v>31.111111111111111</v>
      </c>
      <c r="H47" s="46">
        <f>(2000*(1-$C$7)*0*PriceSlides!X$28)+(2000*(1-$C$7)*PriceSlides!$S47)</f>
        <v>31.111111111111111</v>
      </c>
      <c r="I47" s="46">
        <f>(2000*(1-$C$7)*0*PriceSlides!Y$28)+(2000*(1-$C$7)*PriceSlides!$S47)</f>
        <v>31.111111111111111</v>
      </c>
      <c r="J47" s="46">
        <f>(2000*(1-$C$7)*0*PriceSlides!Z$28)+(2000*(1-$C$7)*PriceSlides!$S47)</f>
        <v>31.111111111111111</v>
      </c>
      <c r="K47" s="46">
        <f>(2000*(1-$C$7)*0*PriceSlides!AA$28)+(2000*(1-$C$7)*PriceSlides!$S47)</f>
        <v>31.111111111111111</v>
      </c>
      <c r="L47" s="46">
        <f>(2000*(1-$C$7)*0*PriceSlides!AB$28)+(2000*(1-$C$7)*PriceSlides!$S47)</f>
        <v>31.111111111111111</v>
      </c>
      <c r="M47" s="46">
        <f>(2000*(1-$C$7)*0*PriceSlides!AC$28)+(2000*(1-$C$7)*PriceSlides!$S47)</f>
        <v>31.111111111111111</v>
      </c>
      <c r="N47" s="47">
        <f>(2000*(1-$C$7)*0*PriceSlides!AD$28)+(2000*(1-$C$7)*PriceSlides!$S47)</f>
        <v>31.111111111111111</v>
      </c>
      <c r="S47" s="44">
        <f>C47/Calculations!$D$13</f>
        <v>4.4444444444444446E-2</v>
      </c>
    </row>
    <row r="48" spans="2:30" s="34" customFormat="1" x14ac:dyDescent="0.25">
      <c r="B48" s="73"/>
      <c r="C48" s="48">
        <f t="shared" si="6"/>
        <v>90</v>
      </c>
      <c r="D48" s="46">
        <f>(2000*(1-$C$7)*0*PriceSlides!T$28)+(2000*(1-$C$7)*PriceSlides!$S48)</f>
        <v>35</v>
      </c>
      <c r="E48" s="46">
        <f>(2000*(1-$C$7)*0*PriceSlides!U$28)+(2000*(1-$C$7)*PriceSlides!$S48)</f>
        <v>35</v>
      </c>
      <c r="F48" s="46">
        <f>(2000*(1-$C$7)*0*PriceSlides!V$28)+(2000*(1-$C$7)*PriceSlides!$S48)</f>
        <v>35</v>
      </c>
      <c r="G48" s="46">
        <f>(2000*(1-$C$7)*0*PriceSlides!W$28)+(2000*(1-$C$7)*PriceSlides!$S48)</f>
        <v>35</v>
      </c>
      <c r="H48" s="46">
        <f>(2000*(1-$C$7)*0*PriceSlides!X$28)+(2000*(1-$C$7)*PriceSlides!$S48)</f>
        <v>35</v>
      </c>
      <c r="I48" s="46">
        <f>(2000*(1-$C$7)*0*PriceSlides!Y$28)+(2000*(1-$C$7)*PriceSlides!$S48)</f>
        <v>35</v>
      </c>
      <c r="J48" s="46">
        <f>(2000*(1-$C$7)*0*PriceSlides!Z$28)+(2000*(1-$C$7)*PriceSlides!$S48)</f>
        <v>35</v>
      </c>
      <c r="K48" s="46">
        <f>(2000*(1-$C$7)*0*PriceSlides!AA$28)+(2000*(1-$C$7)*PriceSlides!$S48)</f>
        <v>35</v>
      </c>
      <c r="L48" s="46">
        <f>(2000*(1-$C$7)*0*PriceSlides!AB$28)+(2000*(1-$C$7)*PriceSlides!$S48)</f>
        <v>35</v>
      </c>
      <c r="M48" s="46">
        <f>(2000*(1-$C$7)*0*PriceSlides!AC$28)+(2000*(1-$C$7)*PriceSlides!$S48)</f>
        <v>35</v>
      </c>
      <c r="N48" s="47">
        <f>(2000*(1-$C$7)*0*PriceSlides!AD$28)+(2000*(1-$C$7)*PriceSlides!$S48)</f>
        <v>35</v>
      </c>
      <c r="S48" s="44">
        <f>C48/Calculations!$D$13</f>
        <v>0.05</v>
      </c>
    </row>
    <row r="49" spans="2:19" s="34" customFormat="1" x14ac:dyDescent="0.25">
      <c r="B49" s="73"/>
      <c r="C49" s="48">
        <f t="shared" si="6"/>
        <v>100</v>
      </c>
      <c r="D49" s="46">
        <f>(2000*(1-$C$7)*0*PriceSlides!T$28)+(2000*(1-$C$7)*PriceSlides!$S49)</f>
        <v>38.888888888888886</v>
      </c>
      <c r="E49" s="46">
        <f>(2000*(1-$C$7)*0*PriceSlides!U$28)+(2000*(1-$C$7)*PriceSlides!$S49)</f>
        <v>38.888888888888886</v>
      </c>
      <c r="F49" s="46">
        <f>(2000*(1-$C$7)*0*PriceSlides!V$28)+(2000*(1-$C$7)*PriceSlides!$S49)</f>
        <v>38.888888888888886</v>
      </c>
      <c r="G49" s="46">
        <f>(2000*(1-$C$7)*0*PriceSlides!W$28)+(2000*(1-$C$7)*PriceSlides!$S49)</f>
        <v>38.888888888888886</v>
      </c>
      <c r="H49" s="46">
        <f>(2000*(1-$C$7)*0*PriceSlides!X$28)+(2000*(1-$C$7)*PriceSlides!$S49)</f>
        <v>38.888888888888886</v>
      </c>
      <c r="I49" s="46">
        <f>(2000*(1-$C$7)*0*PriceSlides!Y$28)+(2000*(1-$C$7)*PriceSlides!$S49)</f>
        <v>38.888888888888886</v>
      </c>
      <c r="J49" s="46">
        <f>(2000*(1-$C$7)*0*PriceSlides!Z$28)+(2000*(1-$C$7)*PriceSlides!$S49)</f>
        <v>38.888888888888886</v>
      </c>
      <c r="K49" s="46">
        <f>(2000*(1-$C$7)*0*PriceSlides!AA$28)+(2000*(1-$C$7)*PriceSlides!$S49)</f>
        <v>38.888888888888886</v>
      </c>
      <c r="L49" s="46">
        <f>(2000*(1-$C$7)*0*PriceSlides!AB$28)+(2000*(1-$C$7)*PriceSlides!$S49)</f>
        <v>38.888888888888886</v>
      </c>
      <c r="M49" s="46">
        <f>(2000*(1-$C$7)*0*PriceSlides!AC$28)+(2000*(1-$C$7)*PriceSlides!$S49)</f>
        <v>38.888888888888886</v>
      </c>
      <c r="N49" s="47">
        <f>(2000*(1-$C$7)*0*PriceSlides!AD$28)+(2000*(1-$C$7)*PriceSlides!$S49)</f>
        <v>38.888888888888886</v>
      </c>
      <c r="S49" s="44">
        <f>C49/Calculations!$D$13</f>
        <v>5.5555555555555552E-2</v>
      </c>
    </row>
    <row r="50" spans="2:19" s="34" customFormat="1" x14ac:dyDescent="0.25">
      <c r="B50" s="73"/>
      <c r="C50" s="48">
        <f t="shared" si="6"/>
        <v>110</v>
      </c>
      <c r="D50" s="46">
        <f>(2000*(1-$C$7)*0*PriceSlides!T$28)+(2000*(1-$C$7)*PriceSlides!$S50)</f>
        <v>42.777777777777779</v>
      </c>
      <c r="E50" s="46">
        <f>(2000*(1-$C$7)*0*PriceSlides!U$28)+(2000*(1-$C$7)*PriceSlides!$S50)</f>
        <v>42.777777777777779</v>
      </c>
      <c r="F50" s="46">
        <f>(2000*(1-$C$7)*0*PriceSlides!V$28)+(2000*(1-$C$7)*PriceSlides!$S50)</f>
        <v>42.777777777777779</v>
      </c>
      <c r="G50" s="46">
        <f>(2000*(1-$C$7)*0*PriceSlides!W$28)+(2000*(1-$C$7)*PriceSlides!$S50)</f>
        <v>42.777777777777779</v>
      </c>
      <c r="H50" s="46">
        <f>(2000*(1-$C$7)*0*PriceSlides!X$28)+(2000*(1-$C$7)*PriceSlides!$S50)</f>
        <v>42.777777777777779</v>
      </c>
      <c r="I50" s="46">
        <f>(2000*(1-$C$7)*0*PriceSlides!Y$28)+(2000*(1-$C$7)*PriceSlides!$S50)</f>
        <v>42.777777777777779</v>
      </c>
      <c r="J50" s="46">
        <f>(2000*(1-$C$7)*0*PriceSlides!Z$28)+(2000*(1-$C$7)*PriceSlides!$S50)</f>
        <v>42.777777777777779</v>
      </c>
      <c r="K50" s="46">
        <f>(2000*(1-$C$7)*0*PriceSlides!AA$28)+(2000*(1-$C$7)*PriceSlides!$S50)</f>
        <v>42.777777777777779</v>
      </c>
      <c r="L50" s="46">
        <f>(2000*(1-$C$7)*0*PriceSlides!AB$28)+(2000*(1-$C$7)*PriceSlides!$S50)</f>
        <v>42.777777777777779</v>
      </c>
      <c r="M50" s="46">
        <f>(2000*(1-$C$7)*0*PriceSlides!AC$28)+(2000*(1-$C$7)*PriceSlides!$S50)</f>
        <v>42.777777777777779</v>
      </c>
      <c r="N50" s="47">
        <f>(2000*(1-$C$7)*0*PriceSlides!AD$28)+(2000*(1-$C$7)*PriceSlides!$S50)</f>
        <v>42.777777777777779</v>
      </c>
      <c r="S50" s="44">
        <f>C50/Calculations!$D$13</f>
        <v>6.1111111111111109E-2</v>
      </c>
    </row>
    <row r="51" spans="2:19" s="34" customFormat="1" x14ac:dyDescent="0.25">
      <c r="B51" s="74"/>
      <c r="C51" s="43">
        <f t="shared" si="6"/>
        <v>120</v>
      </c>
      <c r="D51" s="49">
        <f>(2000*(1-$C$7)*0*PriceSlides!T$28)+(2000*(1-$C$7)*PriceSlides!$S51)</f>
        <v>46.666666666666664</v>
      </c>
      <c r="E51" s="49">
        <f>(2000*(1-$C$7)*0*PriceSlides!U$28)+(2000*(1-$C$7)*PriceSlides!$S51)</f>
        <v>46.666666666666664</v>
      </c>
      <c r="F51" s="49">
        <f>(2000*(1-$C$7)*0*PriceSlides!V$28)+(2000*(1-$C$7)*PriceSlides!$S51)</f>
        <v>46.666666666666664</v>
      </c>
      <c r="G51" s="49">
        <f>(2000*(1-$C$7)*0*PriceSlides!W$28)+(2000*(1-$C$7)*PriceSlides!$S51)</f>
        <v>46.666666666666664</v>
      </c>
      <c r="H51" s="49">
        <f>(2000*(1-$C$7)*0*PriceSlides!X$28)+(2000*(1-$C$7)*PriceSlides!$S51)</f>
        <v>46.666666666666664</v>
      </c>
      <c r="I51" s="49">
        <f>(2000*(1-$C$7)*0*PriceSlides!Y$28)+(2000*(1-$C$7)*PriceSlides!$S51)</f>
        <v>46.666666666666664</v>
      </c>
      <c r="J51" s="49">
        <f>(2000*(1-$C$7)*0*PriceSlides!Z$28)+(2000*(1-$C$7)*PriceSlides!$S51)</f>
        <v>46.666666666666664</v>
      </c>
      <c r="K51" s="49">
        <f>(2000*(1-$C$7)*0*PriceSlides!AA$28)+(2000*(1-$C$7)*PriceSlides!$S51)</f>
        <v>46.666666666666664</v>
      </c>
      <c r="L51" s="49">
        <f>(2000*(1-$C$7)*0*PriceSlides!AB$28)+(2000*(1-$C$7)*PriceSlides!$S51)</f>
        <v>46.666666666666664</v>
      </c>
      <c r="M51" s="49">
        <f>(2000*(1-$C$7)*0*PriceSlides!AC$28)+(2000*(1-$C$7)*PriceSlides!$S51)</f>
        <v>46.666666666666664</v>
      </c>
      <c r="N51" s="50">
        <f>(2000*(1-$C$7)*0*PriceSlides!AD$28)+(2000*(1-$C$7)*PriceSlides!$S51)</f>
        <v>46.666666666666664</v>
      </c>
      <c r="S51" s="44">
        <f>C51/Calculations!$D$13</f>
        <v>6.6666666666666666E-2</v>
      </c>
    </row>
    <row r="52" spans="2:19" s="34" customFormat="1" x14ac:dyDescent="0.25"/>
    <row r="53" spans="2:19" x14ac:dyDescent="0.25">
      <c r="R53" s="2"/>
    </row>
    <row r="54" spans="2:19" x14ac:dyDescent="0.25">
      <c r="R54" s="2"/>
    </row>
    <row r="55" spans="2:19" x14ac:dyDescent="0.25">
      <c r="R55" s="2"/>
    </row>
    <row r="56" spans="2:19" x14ac:dyDescent="0.25">
      <c r="R56" s="2"/>
    </row>
  </sheetData>
  <sheetProtection sheet="1" objects="1" scenarios="1"/>
  <mergeCells count="6">
    <mergeCell ref="D41:N41"/>
    <mergeCell ref="B43:B51"/>
    <mergeCell ref="D27:N27"/>
    <mergeCell ref="B29:B37"/>
    <mergeCell ref="D13:N13"/>
    <mergeCell ref="B15:B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1928F-45FB-4AC6-9515-C3360633A944}">
  <dimension ref="A1:S33"/>
  <sheetViews>
    <sheetView workbookViewId="0">
      <selection activeCell="D1" sqref="D1"/>
    </sheetView>
  </sheetViews>
  <sheetFormatPr defaultRowHeight="15" x14ac:dyDescent="0.25"/>
  <cols>
    <col min="1" max="1" width="2.42578125" customWidth="1"/>
    <col min="2" max="2" width="10" bestFit="1" customWidth="1"/>
    <col min="3" max="3" width="134.42578125" customWidth="1"/>
    <col min="4" max="4" width="16.28515625" customWidth="1"/>
    <col min="9" max="9" width="9.7109375" bestFit="1" customWidth="1"/>
    <col min="18" max="18" width="9.140625" customWidth="1"/>
    <col min="19" max="19" width="9.140625" hidden="1" customWidth="1"/>
  </cols>
  <sheetData>
    <row r="1" spans="1:19" x14ac:dyDescent="0.25">
      <c r="A1" s="3" t="s">
        <v>59</v>
      </c>
    </row>
    <row r="3" spans="1:19" x14ac:dyDescent="0.25">
      <c r="C3" t="s">
        <v>76</v>
      </c>
    </row>
    <row r="4" spans="1:19" x14ac:dyDescent="0.25">
      <c r="G4" s="7"/>
      <c r="H4" s="30"/>
    </row>
    <row r="5" spans="1:19" x14ac:dyDescent="0.25">
      <c r="C5" s="16" t="s">
        <v>36</v>
      </c>
    </row>
    <row r="6" spans="1:19" x14ac:dyDescent="0.25">
      <c r="C6" s="16" t="s">
        <v>49</v>
      </c>
      <c r="D6" s="57">
        <v>22</v>
      </c>
    </row>
    <row r="7" spans="1:19" x14ac:dyDescent="0.25">
      <c r="C7" s="29" t="s">
        <v>47</v>
      </c>
      <c r="D7" t="str">
        <f>TRIM(INT(MROUND($S$7*12, 0.0625)/12) &amp; " ft " &amp; TEXT(MOD(MROUND($S$7*12, 0.0625),12)," # ?/?? \i\n"))</f>
        <v>23 ft 9 1/8 in</v>
      </c>
      <c r="S7" s="7">
        <f>43.56/($D$6/12)</f>
        <v>23.76</v>
      </c>
    </row>
    <row r="10" spans="1:19" x14ac:dyDescent="0.25">
      <c r="B10" s="78" t="s">
        <v>48</v>
      </c>
      <c r="C10" s="79"/>
      <c r="D10" s="80"/>
    </row>
    <row r="11" spans="1:19" x14ac:dyDescent="0.25">
      <c r="B11" s="58" t="s">
        <v>50</v>
      </c>
      <c r="C11" s="29" t="s">
        <v>83</v>
      </c>
      <c r="D11" s="70">
        <v>40</v>
      </c>
    </row>
    <row r="12" spans="1:19" x14ac:dyDescent="0.25">
      <c r="B12" s="58" t="s">
        <v>51</v>
      </c>
      <c r="C12" s="29" t="s">
        <v>52</v>
      </c>
      <c r="D12" s="59">
        <f>$D$11*1000</f>
        <v>40000</v>
      </c>
    </row>
    <row r="13" spans="1:19" x14ac:dyDescent="0.25">
      <c r="B13" s="60"/>
      <c r="C13" s="61"/>
      <c r="D13" s="62"/>
    </row>
    <row r="14" spans="1:19" x14ac:dyDescent="0.25">
      <c r="B14" s="60"/>
      <c r="C14" s="31" t="s">
        <v>65</v>
      </c>
      <c r="D14" s="67">
        <f>D12/2000</f>
        <v>20</v>
      </c>
    </row>
    <row r="15" spans="1:19" x14ac:dyDescent="0.25">
      <c r="B15" s="75" t="s">
        <v>87</v>
      </c>
      <c r="C15" s="76"/>
      <c r="D15" s="77"/>
    </row>
    <row r="17" spans="2:4" x14ac:dyDescent="0.25">
      <c r="B17" s="78" t="s">
        <v>53</v>
      </c>
      <c r="C17" s="79"/>
      <c r="D17" s="80"/>
    </row>
    <row r="18" spans="2:4" x14ac:dyDescent="0.25">
      <c r="B18" s="58" t="s">
        <v>50</v>
      </c>
      <c r="C18" s="63" t="s">
        <v>60</v>
      </c>
      <c r="D18" s="57">
        <v>16</v>
      </c>
    </row>
    <row r="19" spans="2:4" x14ac:dyDescent="0.25">
      <c r="B19" s="58"/>
      <c r="C19" s="63" t="s">
        <v>61</v>
      </c>
      <c r="D19" s="59">
        <f>$D$18*1000</f>
        <v>16000</v>
      </c>
    </row>
    <row r="20" spans="2:4" x14ac:dyDescent="0.25">
      <c r="B20" s="58" t="s">
        <v>51</v>
      </c>
      <c r="C20" s="63" t="s">
        <v>84</v>
      </c>
      <c r="D20" s="62"/>
    </row>
    <row r="21" spans="2:4" x14ac:dyDescent="0.25">
      <c r="B21" s="60"/>
      <c r="C21" s="63" t="s">
        <v>54</v>
      </c>
      <c r="D21" s="57">
        <v>16</v>
      </c>
    </row>
    <row r="22" spans="2:4" x14ac:dyDescent="0.25">
      <c r="B22" s="60"/>
      <c r="C22" s="63" t="s">
        <v>55</v>
      </c>
      <c r="D22" s="57">
        <v>25</v>
      </c>
    </row>
    <row r="23" spans="2:4" x14ac:dyDescent="0.25">
      <c r="B23" s="60"/>
      <c r="C23" s="61"/>
      <c r="D23" s="62"/>
    </row>
    <row r="24" spans="2:4" x14ac:dyDescent="0.25">
      <c r="B24" s="60"/>
      <c r="C24" s="29" t="s">
        <v>62</v>
      </c>
      <c r="D24" s="59">
        <f>$D$19*$D$21*$D$22</f>
        <v>6400000</v>
      </c>
    </row>
    <row r="25" spans="2:4" x14ac:dyDescent="0.25">
      <c r="B25" s="60"/>
      <c r="C25" s="29" t="s">
        <v>63</v>
      </c>
      <c r="D25" s="59">
        <v>110000</v>
      </c>
    </row>
    <row r="26" spans="2:4" x14ac:dyDescent="0.25">
      <c r="B26" s="60"/>
      <c r="C26" s="61"/>
      <c r="D26" s="62"/>
    </row>
    <row r="27" spans="2:4" x14ac:dyDescent="0.25">
      <c r="B27" s="60"/>
      <c r="C27" s="32" t="s">
        <v>64</v>
      </c>
      <c r="D27" s="64">
        <f>D24/D25</f>
        <v>58.18181818181818</v>
      </c>
    </row>
    <row r="28" spans="2:4" x14ac:dyDescent="0.25">
      <c r="B28" s="60"/>
      <c r="C28" s="63" t="s">
        <v>66</v>
      </c>
      <c r="D28" s="65" t="str">
        <f>IF($D$27&lt;90,"5",IF($D$27&lt;111,"5.5",IF($D$27&lt;131,"6",IF($D$27&lt;151,"6.5",IF($D$27&gt;150,"7.0")))))</f>
        <v>5</v>
      </c>
    </row>
    <row r="29" spans="2:4" x14ac:dyDescent="0.25">
      <c r="B29" s="60"/>
      <c r="C29" s="61"/>
      <c r="D29" s="62"/>
    </row>
    <row r="30" spans="2:4" x14ac:dyDescent="0.25">
      <c r="B30" s="60"/>
      <c r="C30" s="33" t="s">
        <v>65</v>
      </c>
      <c r="D30" s="66">
        <f>$D$27/$D$28</f>
        <v>11.636363636363637</v>
      </c>
    </row>
    <row r="31" spans="2:4" x14ac:dyDescent="0.25">
      <c r="B31" s="60"/>
      <c r="C31" s="61"/>
      <c r="D31" s="62"/>
    </row>
    <row r="32" spans="2:4" x14ac:dyDescent="0.25">
      <c r="B32" s="81" t="s">
        <v>86</v>
      </c>
      <c r="C32" s="82"/>
      <c r="D32" s="83"/>
    </row>
    <row r="33" spans="2:4" x14ac:dyDescent="0.25">
      <c r="B33" s="75" t="s">
        <v>85</v>
      </c>
      <c r="C33" s="76"/>
      <c r="D33" s="77"/>
    </row>
  </sheetData>
  <sheetProtection sheet="1" objects="1" scenarios="1"/>
  <mergeCells count="5">
    <mergeCell ref="B33:D33"/>
    <mergeCell ref="B15:D15"/>
    <mergeCell ref="B17:D17"/>
    <mergeCell ref="B10:D10"/>
    <mergeCell ref="B32:D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243C-929C-4830-A99C-FBA449FC7514}">
  <dimension ref="A1:K41"/>
  <sheetViews>
    <sheetView workbookViewId="0">
      <selection activeCell="G1" sqref="G1"/>
    </sheetView>
  </sheetViews>
  <sheetFormatPr defaultRowHeight="15" x14ac:dyDescent="0.25"/>
  <cols>
    <col min="1" max="1" width="19.5703125" customWidth="1"/>
  </cols>
  <sheetData>
    <row r="1" spans="1:11" x14ac:dyDescent="0.25">
      <c r="A1" s="3" t="s">
        <v>33</v>
      </c>
      <c r="I1" s="15"/>
      <c r="J1" s="13"/>
      <c r="K1" s="13"/>
    </row>
    <row r="2" spans="1:11" x14ac:dyDescent="0.25">
      <c r="A2" s="14"/>
      <c r="I2" s="13"/>
      <c r="J2" s="13"/>
      <c r="K2" s="13"/>
    </row>
    <row r="4" spans="1:11" x14ac:dyDescent="0.25">
      <c r="A4" t="s">
        <v>91</v>
      </c>
    </row>
    <row r="5" spans="1:11" x14ac:dyDescent="0.25">
      <c r="D5" t="s">
        <v>90</v>
      </c>
    </row>
    <row r="6" spans="1:11" x14ac:dyDescent="0.25">
      <c r="A6" s="3" t="s">
        <v>0</v>
      </c>
      <c r="B6" s="2">
        <v>56</v>
      </c>
      <c r="C6" s="6" t="s">
        <v>46</v>
      </c>
      <c r="D6" s="69">
        <v>0.87</v>
      </c>
      <c r="E6" s="6" t="s">
        <v>3</v>
      </c>
      <c r="F6" s="7">
        <f>B6*D6</f>
        <v>48.72</v>
      </c>
      <c r="G6" t="s">
        <v>57</v>
      </c>
    </row>
    <row r="8" spans="1:11" x14ac:dyDescent="0.25">
      <c r="A8" s="16" t="s">
        <v>34</v>
      </c>
      <c r="B8" s="5">
        <f>SilageValue!C10</f>
        <v>5.5</v>
      </c>
      <c r="C8" s="9" t="s">
        <v>25</v>
      </c>
      <c r="D8" s="7">
        <f>F6</f>
        <v>48.72</v>
      </c>
      <c r="E8" s="6" t="s">
        <v>3</v>
      </c>
      <c r="F8" s="8">
        <f>B8/D8</f>
        <v>0.11288998357963875</v>
      </c>
      <c r="G8" s="6" t="s">
        <v>23</v>
      </c>
      <c r="H8" s="10">
        <f>F8*100</f>
        <v>11.288998357963875</v>
      </c>
      <c r="I8" t="s">
        <v>43</v>
      </c>
    </row>
    <row r="9" spans="1:11" x14ac:dyDescent="0.25">
      <c r="B9" s="5"/>
      <c r="C9" s="9"/>
      <c r="D9" s="7"/>
      <c r="E9" s="6"/>
      <c r="F9" s="8"/>
    </row>
    <row r="10" spans="1:11" x14ac:dyDescent="0.25">
      <c r="D10" t="s">
        <v>90</v>
      </c>
    </row>
    <row r="11" spans="1:11" x14ac:dyDescent="0.25">
      <c r="A11" s="3" t="s">
        <v>24</v>
      </c>
      <c r="B11" s="2">
        <v>2000</v>
      </c>
      <c r="C11" s="6" t="s">
        <v>46</v>
      </c>
      <c r="D11" s="57">
        <v>0.9</v>
      </c>
      <c r="E11" s="6" t="s">
        <v>3</v>
      </c>
      <c r="F11" s="7">
        <f>B11*D11</f>
        <v>1800</v>
      </c>
      <c r="G11" t="s">
        <v>58</v>
      </c>
    </row>
    <row r="13" spans="1:11" x14ac:dyDescent="0.25">
      <c r="A13" s="16" t="s">
        <v>35</v>
      </c>
      <c r="B13" s="5">
        <f>SilageValue!C11</f>
        <v>90</v>
      </c>
      <c r="C13" s="11" t="s">
        <v>26</v>
      </c>
      <c r="D13" s="7">
        <f>F11</f>
        <v>1800</v>
      </c>
      <c r="E13" s="6" t="s">
        <v>3</v>
      </c>
      <c r="F13" s="8">
        <f>B13/D13</f>
        <v>0.05</v>
      </c>
      <c r="G13" s="6" t="s">
        <v>23</v>
      </c>
      <c r="H13" s="10">
        <f>F13*100</f>
        <v>5</v>
      </c>
      <c r="I13" t="s">
        <v>43</v>
      </c>
    </row>
    <row r="16" spans="1:11" x14ac:dyDescent="0.25">
      <c r="A16" t="s">
        <v>29</v>
      </c>
    </row>
    <row r="17" spans="1:9" x14ac:dyDescent="0.25">
      <c r="A17" t="s">
        <v>27</v>
      </c>
    </row>
    <row r="19" spans="1:9" x14ac:dyDescent="0.25">
      <c r="B19" s="2">
        <v>350</v>
      </c>
      <c r="C19" t="s">
        <v>1</v>
      </c>
      <c r="E19" s="6" t="s">
        <v>2</v>
      </c>
      <c r="F19" s="8">
        <f>ROUND(F8,4)</f>
        <v>0.1129</v>
      </c>
      <c r="G19" s="6" t="s">
        <v>3</v>
      </c>
      <c r="H19" s="5">
        <f>B19*F19</f>
        <v>39.515000000000001</v>
      </c>
    </row>
    <row r="20" spans="1:9" x14ac:dyDescent="0.25">
      <c r="B20" s="2">
        <v>350</v>
      </c>
      <c r="C20" t="s">
        <v>4</v>
      </c>
      <c r="E20" s="6" t="s">
        <v>2</v>
      </c>
      <c r="F20" s="8">
        <f>ROUND(F13,4)</f>
        <v>0.05</v>
      </c>
      <c r="G20" s="6" t="s">
        <v>3</v>
      </c>
      <c r="H20" s="5">
        <f>B20*F20</f>
        <v>17.5</v>
      </c>
    </row>
    <row r="21" spans="1:9" x14ac:dyDescent="0.25">
      <c r="B21" s="2">
        <v>1300</v>
      </c>
      <c r="C21" t="s">
        <v>5</v>
      </c>
      <c r="E21" s="6" t="s">
        <v>2</v>
      </c>
      <c r="F21">
        <v>0</v>
      </c>
      <c r="G21" s="6" t="s">
        <v>3</v>
      </c>
      <c r="H21">
        <v>0</v>
      </c>
    </row>
    <row r="22" spans="1:9" x14ac:dyDescent="0.25">
      <c r="B22" s="2">
        <v>2000</v>
      </c>
      <c r="C22" t="s">
        <v>6</v>
      </c>
      <c r="H22" s="28">
        <f>ROUND(SUM(H19:H21),2)</f>
        <v>57.02</v>
      </c>
      <c r="I22" t="s">
        <v>28</v>
      </c>
    </row>
    <row r="25" spans="1:9" x14ac:dyDescent="0.25">
      <c r="A25" t="s">
        <v>30</v>
      </c>
    </row>
    <row r="26" spans="1:9" x14ac:dyDescent="0.25">
      <c r="A26" t="s">
        <v>31</v>
      </c>
    </row>
    <row r="27" spans="1:9" x14ac:dyDescent="0.25">
      <c r="A27" t="s">
        <v>32</v>
      </c>
    </row>
    <row r="29" spans="1:9" x14ac:dyDescent="0.25">
      <c r="B29" s="2">
        <v>175</v>
      </c>
      <c r="C29" t="s">
        <v>1</v>
      </c>
      <c r="E29" s="6" t="s">
        <v>2</v>
      </c>
      <c r="F29" s="8">
        <f>ROUND(F8,4)</f>
        <v>0.1129</v>
      </c>
      <c r="G29" s="6" t="s">
        <v>3</v>
      </c>
      <c r="H29" s="5">
        <f>B29*F29</f>
        <v>19.7575</v>
      </c>
    </row>
    <row r="30" spans="1:9" x14ac:dyDescent="0.25">
      <c r="B30" s="2">
        <v>525</v>
      </c>
      <c r="C30" t="s">
        <v>4</v>
      </c>
      <c r="E30" s="6" t="s">
        <v>2</v>
      </c>
      <c r="F30" s="8">
        <f>ROUND(F13,4)</f>
        <v>0.05</v>
      </c>
      <c r="G30" s="6" t="s">
        <v>3</v>
      </c>
      <c r="H30" s="5">
        <f>B30*F30</f>
        <v>26.25</v>
      </c>
    </row>
    <row r="31" spans="1:9" x14ac:dyDescent="0.25">
      <c r="A31" s="2"/>
      <c r="B31" s="2">
        <v>1300</v>
      </c>
      <c r="C31" t="s">
        <v>5</v>
      </c>
      <c r="E31" s="6" t="s">
        <v>2</v>
      </c>
      <c r="F31">
        <v>0</v>
      </c>
      <c r="G31" s="6" t="s">
        <v>3</v>
      </c>
      <c r="H31">
        <v>0</v>
      </c>
    </row>
    <row r="32" spans="1:9" x14ac:dyDescent="0.25">
      <c r="A32" s="2"/>
      <c r="B32" s="2">
        <v>2000</v>
      </c>
      <c r="C32" t="s">
        <v>6</v>
      </c>
      <c r="H32" s="28">
        <f>ROUND(SUM(H29:H31),2)</f>
        <v>46.01</v>
      </c>
      <c r="I32" t="s">
        <v>7</v>
      </c>
    </row>
    <row r="33" spans="1:9" x14ac:dyDescent="0.25">
      <c r="B33" s="2"/>
      <c r="G33" s="1"/>
      <c r="I33" t="s">
        <v>8</v>
      </c>
    </row>
    <row r="35" spans="1:9" x14ac:dyDescent="0.25">
      <c r="A35" t="s">
        <v>9</v>
      </c>
    </row>
    <row r="37" spans="1:9" x14ac:dyDescent="0.25">
      <c r="B37" s="2">
        <v>0</v>
      </c>
      <c r="C37" t="s">
        <v>1</v>
      </c>
      <c r="E37" s="6" t="s">
        <v>2</v>
      </c>
      <c r="F37" s="8">
        <f>ROUND(F8,4)</f>
        <v>0.1129</v>
      </c>
      <c r="G37" s="6" t="s">
        <v>3</v>
      </c>
      <c r="H37" s="5">
        <f>B37*F37</f>
        <v>0</v>
      </c>
    </row>
    <row r="38" spans="1:9" x14ac:dyDescent="0.25">
      <c r="B38" s="2">
        <v>700</v>
      </c>
      <c r="C38" t="s">
        <v>4</v>
      </c>
      <c r="E38" s="6" t="s">
        <v>2</v>
      </c>
      <c r="F38" s="8">
        <f>ROUND(F13,4)</f>
        <v>0.05</v>
      </c>
      <c r="G38" s="6" t="s">
        <v>3</v>
      </c>
      <c r="H38" s="5">
        <f>B38*F38</f>
        <v>35</v>
      </c>
    </row>
    <row r="39" spans="1:9" x14ac:dyDescent="0.25">
      <c r="A39" s="2"/>
      <c r="B39" s="2">
        <v>1300</v>
      </c>
      <c r="C39" t="s">
        <v>5</v>
      </c>
      <c r="E39" s="6" t="s">
        <v>2</v>
      </c>
      <c r="F39">
        <v>0</v>
      </c>
      <c r="G39" s="6" t="s">
        <v>3</v>
      </c>
      <c r="H39">
        <v>0</v>
      </c>
    </row>
    <row r="40" spans="1:9" x14ac:dyDescent="0.25">
      <c r="A40" s="2"/>
      <c r="B40" s="2">
        <v>2000</v>
      </c>
      <c r="C40" t="s">
        <v>6</v>
      </c>
      <c r="H40" s="28">
        <f>ROUND(SUM(H37:H39),2)</f>
        <v>35</v>
      </c>
      <c r="I40" t="s">
        <v>10</v>
      </c>
    </row>
    <row r="41" spans="1:9" x14ac:dyDescent="0.25">
      <c r="B41" s="2"/>
      <c r="G41" s="1"/>
      <c r="I41" t="s">
        <v>8</v>
      </c>
    </row>
  </sheetData>
  <sheetProtection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35749E126F4243A918293440EE2D69" ma:contentTypeVersion="11" ma:contentTypeDescription="Create a new document." ma:contentTypeScope="" ma:versionID="166495a84d970f77fb9fe5434d2ef049">
  <xsd:schema xmlns:xsd="http://www.w3.org/2001/XMLSchema" xmlns:xs="http://www.w3.org/2001/XMLSchema" xmlns:p="http://schemas.microsoft.com/office/2006/metadata/properties" xmlns:ns3="bbcd7a8a-1cd5-4828-85e8-59a379f07dba" targetNamespace="http://schemas.microsoft.com/office/2006/metadata/properties" ma:root="true" ma:fieldsID="8f0095cd9785acd6e73d0d663f28bd64" ns3:_="">
    <xsd:import namespace="bbcd7a8a-1cd5-4828-85e8-59a379f07d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d7a8a-1cd5-4828-85e8-59a379f07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62E67D-687B-4332-AC20-D193FC42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d7a8a-1cd5-4828-85e8-59a379f07d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29A3C9-085E-41FF-B844-36731BD950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D7E277-FCBA-4B7C-B368-AE9528D83A63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bbcd7a8a-1cd5-4828-85e8-59a379f07dba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SilageValue</vt:lpstr>
      <vt:lpstr>PriceSlides</vt:lpstr>
      <vt:lpstr>EstimatedYield</vt:lpstr>
      <vt:lpstr>Calculations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Haugen</dc:creator>
  <cp:lastModifiedBy>Ronald Haugen</cp:lastModifiedBy>
  <dcterms:created xsi:type="dcterms:W3CDTF">2021-07-24T09:08:02Z</dcterms:created>
  <dcterms:modified xsi:type="dcterms:W3CDTF">2021-08-09T13:27:41Z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0x010100D235749E126F4243A918293440EE2D69</vt:lpwstr>
  </property>
</Properties>
</file>