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cloudconvert\server\files\tasks\940c094c-d579-461a-b7bc-be62d2645eaf\"/>
    </mc:Choice>
  </mc:AlternateContent>
  <xr:revisionPtr revIDLastSave="0" documentId="8_{E45CB295-7524-41F9-904E-9BAB36ED25BF}" xr6:coauthVersionLast="46" xr6:coauthVersionMax="46" xr10:uidLastSave="{00000000-0000-0000-0000-000000000000}"/>
  <bookViews>
    <workbookView xWindow="2340" yWindow="2340" windowWidth="11520" windowHeight="7875" xr2:uid="{00000000-000D-0000-FFFF-FFFF00000000}"/>
  </bookViews>
  <sheets>
    <sheet name="Calculator" sheetId="1" r:id="rId1"/>
    <sheet name="Instr-Info" sheetId="3" r:id="rId2"/>
    <sheet name="Tables" sheetId="2" r:id="rId3"/>
  </sheets>
  <definedNames>
    <definedName name="Nitrogen" comment="Manure as Nitrogen Source for Corn">Calculator!$A$109:$A$164</definedName>
    <definedName name="Phosphorus" comment="Manure as Phosphorus Source for Corn">Calculator!$A$30:$A$84</definedName>
    <definedName name="Please_Select_One">Calculator!$J$34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7" i="1" l="1"/>
  <c r="G58" i="1"/>
  <c r="F58" i="1"/>
  <c r="H43" i="1"/>
  <c r="H58" i="1" s="1"/>
  <c r="G43" i="1"/>
  <c r="H121" i="1"/>
  <c r="H137" i="1" s="1"/>
  <c r="G121" i="1"/>
  <c r="G126" i="1" s="1"/>
  <c r="H48" i="1" l="1"/>
  <c r="H126" i="1"/>
  <c r="I35" i="1"/>
  <c r="I36" i="1"/>
  <c r="I37" i="1"/>
  <c r="I38" i="1"/>
  <c r="I39" i="1"/>
  <c r="I40" i="1"/>
  <c r="I34" i="1"/>
  <c r="I118" i="1"/>
  <c r="I114" i="1"/>
  <c r="I115" i="1"/>
  <c r="I116" i="1"/>
  <c r="I117" i="1"/>
  <c r="I113" i="1"/>
  <c r="F137" i="1" l="1"/>
  <c r="I124" i="1" l="1"/>
  <c r="I46" i="1"/>
  <c r="I125" i="1" l="1"/>
  <c r="I137" i="1"/>
  <c r="H118" i="1"/>
  <c r="H117" i="1"/>
  <c r="H116" i="1"/>
  <c r="H115" i="1"/>
  <c r="D153" i="1" l="1"/>
  <c r="I126" i="1"/>
  <c r="D145" i="1" s="1"/>
  <c r="I138" i="1"/>
  <c r="H36" i="1"/>
  <c r="H40" i="1"/>
  <c r="H39" i="1"/>
  <c r="H38" i="1"/>
  <c r="I58" i="1"/>
  <c r="E145" i="1" l="1"/>
  <c r="I140" i="1"/>
  <c r="I127" i="1"/>
  <c r="I59" i="1"/>
  <c r="I61" i="1" s="1"/>
  <c r="E66" i="1" l="1"/>
  <c r="D45" i="1"/>
  <c r="D123" i="1"/>
  <c r="H59" i="1" l="1"/>
  <c r="H61" i="1" s="1"/>
  <c r="E152" i="1"/>
  <c r="E151" i="1"/>
  <c r="E65" i="1" l="1"/>
  <c r="E46" i="1"/>
  <c r="H124" i="1" l="1"/>
  <c r="H125" i="1" s="1"/>
  <c r="D152" i="1" s="1"/>
  <c r="H46" i="1"/>
  <c r="G46" i="1"/>
  <c r="D144" i="1" l="1"/>
  <c r="H131" i="1"/>
  <c r="H53" i="1"/>
  <c r="H113" i="1" l="1"/>
  <c r="H34" i="1"/>
  <c r="H114" i="1" l="1"/>
  <c r="H37" i="1"/>
  <c r="G130" i="1"/>
  <c r="G131" i="1" s="1"/>
  <c r="G59" i="1" l="1"/>
  <c r="D59" i="1" s="1"/>
  <c r="F50" i="1"/>
  <c r="G124" i="1"/>
  <c r="G125" i="1" s="1"/>
  <c r="D151" i="1" s="1"/>
  <c r="G61" i="1" l="1"/>
  <c r="D67" i="1"/>
  <c r="D64" i="1"/>
  <c r="E64" i="1"/>
  <c r="E59" i="1"/>
  <c r="I47" i="1"/>
  <c r="D73" i="1" s="1"/>
  <c r="H47" i="1"/>
  <c r="D72" i="1" s="1"/>
  <c r="J118" i="1"/>
  <c r="J41" i="1"/>
  <c r="F135" i="1"/>
  <c r="F136" i="1" s="1"/>
  <c r="F61" i="1" l="1"/>
  <c r="F59" i="1"/>
  <c r="E71" i="1"/>
  <c r="I48" i="1"/>
  <c r="D66" i="1" s="1"/>
  <c r="I49" i="1" l="1"/>
  <c r="G138" i="1"/>
  <c r="E124" i="1"/>
  <c r="G140" i="1" l="1"/>
  <c r="D138" i="1"/>
  <c r="E143" i="1"/>
  <c r="E138" i="1"/>
  <c r="G47" i="1"/>
  <c r="G48" i="1" s="1"/>
  <c r="F56" i="1"/>
  <c r="F57" i="1" s="1"/>
  <c r="E150" i="1" l="1"/>
  <c r="E154" i="1" s="1"/>
  <c r="F138" i="1"/>
  <c r="E142" i="1" s="1"/>
  <c r="F140" i="1"/>
  <c r="H138" i="1"/>
  <c r="D143" i="1"/>
  <c r="D124" i="1"/>
  <c r="F124" i="1" s="1"/>
  <c r="F125" i="1" s="1"/>
  <c r="D150" i="1"/>
  <c r="D154" i="1" s="1"/>
  <c r="H140" i="1" l="1"/>
  <c r="E144" i="1"/>
  <c r="F126" i="1"/>
  <c r="F127" i="1" s="1"/>
  <c r="F142" i="1" s="1"/>
  <c r="F128" i="1"/>
  <c r="G127" i="1"/>
  <c r="D142" i="1" l="1"/>
  <c r="E147" i="1"/>
  <c r="D146" i="1"/>
  <c r="D155" i="1"/>
  <c r="H127" i="1"/>
  <c r="E148" i="1" l="1"/>
  <c r="D147" i="1"/>
  <c r="E155" i="1"/>
  <c r="D46" i="1"/>
  <c r="F46" i="1" s="1"/>
  <c r="F47" i="1" s="1"/>
  <c r="D71" i="1" s="1"/>
  <c r="D74" i="1" s="1"/>
  <c r="D156" i="1" l="1"/>
  <c r="D158" i="1" s="1"/>
  <c r="D162" i="1" s="1"/>
  <c r="F48" i="1"/>
  <c r="F49" i="1" s="1"/>
  <c r="D63" i="1" s="1"/>
  <c r="D148" i="1"/>
  <c r="D160" i="1" l="1"/>
  <c r="H35" i="1"/>
  <c r="D75" i="1" l="1"/>
  <c r="H49" i="1" l="1"/>
  <c r="D65" i="1" s="1"/>
  <c r="D68" i="1" s="1"/>
  <c r="D69" i="1" s="1"/>
  <c r="E74" i="1"/>
  <c r="E75" i="1" s="1"/>
  <c r="E63" i="1" l="1"/>
  <c r="E68" i="1" s="1"/>
  <c r="D76" i="1" s="1"/>
  <c r="E69" i="1" l="1"/>
  <c r="D78" i="1"/>
  <c r="D82" i="1" s="1"/>
  <c r="D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Flores</author>
  </authors>
  <commentList>
    <comment ref="F43" authorId="0" shapeId="0" xr:uid="{00000000-0006-0000-0000-000001000000}">
      <text>
        <r>
          <rPr>
            <sz val="9"/>
            <color indexed="81"/>
            <rFont val="Tahoma"/>
            <family val="2"/>
          </rPr>
          <t>Use the "NDSU Corn N Calculator" hyperlink to the right to determine the N needs for your operation.</t>
        </r>
      </text>
    </comment>
    <comment ref="F121" authorId="0" shapeId="0" xr:uid="{00000000-0006-0000-0000-000002000000}">
      <text>
        <r>
          <rPr>
            <sz val="9"/>
            <color indexed="81"/>
            <rFont val="Tahoma"/>
            <family val="2"/>
          </rPr>
          <t>Use the "NDSU Corn N Calculator" hyperlink to the right to determine the N needs for your operation.</t>
        </r>
      </text>
    </comment>
  </commentList>
</comments>
</file>

<file path=xl/sharedStrings.xml><?xml version="1.0" encoding="utf-8"?>
<sst xmlns="http://schemas.openxmlformats.org/spreadsheetml/2006/main" count="232" uniqueCount="146">
  <si>
    <t>ppm P2O5</t>
  </si>
  <si>
    <t>ppm K2O</t>
  </si>
  <si>
    <t>Ammonium-N</t>
  </si>
  <si>
    <t>Organic N</t>
  </si>
  <si>
    <t>Total N</t>
  </si>
  <si>
    <t>Nitrogen</t>
  </si>
  <si>
    <t>P2O5</t>
  </si>
  <si>
    <t>K2O</t>
  </si>
  <si>
    <t>Immediately</t>
  </si>
  <si>
    <t>One day later</t>
  </si>
  <si>
    <t>Two days later</t>
  </si>
  <si>
    <t>Three days later</t>
  </si>
  <si>
    <t>Manure</t>
  </si>
  <si>
    <t>Urea</t>
  </si>
  <si>
    <t>$/ton</t>
  </si>
  <si>
    <t>General Information</t>
  </si>
  <si>
    <t>Fraction of ammonium nitrogen available the year of application</t>
  </si>
  <si>
    <t>Preplant Application and Incorporated</t>
  </si>
  <si>
    <t>Seven or more days later</t>
  </si>
  <si>
    <t>Availability</t>
  </si>
  <si>
    <t>Manure Incorporation - Please Select One</t>
  </si>
  <si>
    <t>Nitrogen Source - Please Select One</t>
  </si>
  <si>
    <t>Click here to calculate the Corn Nitrogen Recommendation for your operation (North Dakota Corn Nitrogen Calculator). You will need to be connected to the internet to complete this step.</t>
  </si>
  <si>
    <t>11-52-00</t>
  </si>
  <si>
    <t>18-46-00</t>
  </si>
  <si>
    <t>Phosphorus Source - Please Select One</t>
  </si>
  <si>
    <t>00-00-60</t>
  </si>
  <si>
    <t>$/lb of Nutrient</t>
  </si>
  <si>
    <t>Fertilizer</t>
  </si>
  <si>
    <t>Costs</t>
  </si>
  <si>
    <t>Extra Value</t>
  </si>
  <si>
    <t>2. Field Area (ac)</t>
  </si>
  <si>
    <t>1. Field ID</t>
  </si>
  <si>
    <t>3. Soil Test P (Olsen)</t>
  </si>
  <si>
    <t>4. Soil Test K</t>
  </si>
  <si>
    <t>General</t>
  </si>
  <si>
    <t>OR</t>
  </si>
  <si>
    <t>CLICK HERE TO GO BACK TO THE TOP</t>
  </si>
  <si>
    <t>Manure to be applied based on: (Please click in one of the options below)</t>
  </si>
  <si>
    <t>YES</t>
  </si>
  <si>
    <t>NO</t>
  </si>
  <si>
    <t>P205</t>
  </si>
  <si>
    <t>lb/ton</t>
  </si>
  <si>
    <t>Average Nutrient Values for Solid Beef Manure.</t>
  </si>
  <si>
    <t>Organic Nitrogen (Organic-N)</t>
  </si>
  <si>
    <t>Phosphorus (P2O5)</t>
  </si>
  <si>
    <t>Total Nitrogen (Total-N)</t>
  </si>
  <si>
    <t>Concentration</t>
  </si>
  <si>
    <r>
      <t xml:space="preserve"> </t>
    </r>
    <r>
      <rPr>
        <b/>
        <sz val="11"/>
        <color theme="1"/>
        <rFont val="Calibri"/>
        <family val="2"/>
        <scheme val="minor"/>
      </rPr>
      <t>Source:</t>
    </r>
    <r>
      <rPr>
        <sz val="11"/>
        <color theme="1"/>
        <rFont val="Calibri"/>
        <family val="2"/>
        <scheme val="minor"/>
      </rPr>
      <t xml:space="preserve"> Wortman, C.S. &amp; Shapiro, C.A. (2012). </t>
    </r>
    <r>
      <rPr>
        <b/>
        <sz val="11"/>
        <color theme="1"/>
        <rFont val="Calibri"/>
        <family val="2"/>
        <scheme val="minor"/>
      </rPr>
      <t>Calculating the Value of Manure for Crop Production (NebGuide G1519)</t>
    </r>
    <r>
      <rPr>
        <sz val="11"/>
        <color theme="1"/>
        <rFont val="Calibri"/>
        <family val="2"/>
        <scheme val="minor"/>
      </rPr>
      <t>. University of Nebraska-Lincoln.</t>
    </r>
  </si>
  <si>
    <t>Do you have a manure analysis report?</t>
  </si>
  <si>
    <t>To learn more about this spreadsheet click here.</t>
  </si>
  <si>
    <t>Notes:</t>
  </si>
  <si>
    <t>7. Manure Nutrient Content, lbs/ton</t>
  </si>
  <si>
    <t xml:space="preserve">  7.1 Nutrient Availability Factor</t>
  </si>
  <si>
    <t xml:space="preserve">  7.5 Commercial Fertilizer Application Rates, lbs/ac</t>
  </si>
  <si>
    <r>
      <t xml:space="preserve">  7.6 </t>
    </r>
    <r>
      <rPr>
        <b/>
        <sz val="11"/>
        <color theme="1"/>
        <rFont val="Calibri"/>
        <family val="2"/>
        <scheme val="minor"/>
      </rPr>
      <t>Application Rate, ton/ac</t>
    </r>
  </si>
  <si>
    <t xml:space="preserve">  7.11 Manure Hauler Truck/Spreader Capacity, tons</t>
  </si>
  <si>
    <t>9. Costs</t>
  </si>
  <si>
    <t xml:space="preserve">  9.1 Nitrogen, $/ac</t>
  </si>
  <si>
    <t xml:space="preserve">  9.2 Phosphorus (P2O5), $/ac</t>
  </si>
  <si>
    <t xml:space="preserve">  9.3 Potassium (K2O), $/ac</t>
  </si>
  <si>
    <t xml:space="preserve">  10.1 Nitrogen (1st+2nd Year), $/ac</t>
  </si>
  <si>
    <t xml:space="preserve">  10.2 Potassium (K2O), $/ac</t>
  </si>
  <si>
    <t xml:space="preserve">  7.7 Application Cost per Load, $/load</t>
  </si>
  <si>
    <t xml:space="preserve">  7.8 Hauling Cost, $/mile</t>
  </si>
  <si>
    <t xml:space="preserve">  7.9 Hauling Distance, miles</t>
  </si>
  <si>
    <t xml:space="preserve">  7.10 Incorporation Cost, $/ac</t>
  </si>
  <si>
    <t>Change/Add values in/to the light blue cells to reflect the values of your operation.</t>
  </si>
  <si>
    <t>6. Nutrient Recommendation, lbs/ac</t>
  </si>
  <si>
    <t>CLICK HERE TO GO BACK TO THE TOP.</t>
  </si>
  <si>
    <t xml:space="preserve">  7.7 Actual Application Rate, ton/ac</t>
  </si>
  <si>
    <t xml:space="preserve">  7.8 Application Cost per Load, $/load</t>
  </si>
  <si>
    <t xml:space="preserve">  7.9 Hauling Cost, $/mile</t>
  </si>
  <si>
    <t xml:space="preserve">  7.10 Hauling Distance, miles</t>
  </si>
  <si>
    <t xml:space="preserve">  7.11 Incorporation Cost, $/ac</t>
  </si>
  <si>
    <t xml:space="preserve">  7.12 Manure Hauler Truck/Spreader Capacity, tons</t>
  </si>
  <si>
    <t xml:space="preserve">  10.2 Phosphorus, $/ac</t>
  </si>
  <si>
    <t xml:space="preserve">  10.3 K2O, $/ac</t>
  </si>
  <si>
    <t xml:space="preserve">  10.4 TOTAL Extra Nutrient Value, $/ac</t>
  </si>
  <si>
    <t>Developed by: Paulo Flores</t>
  </si>
  <si>
    <t>For comments, questions and/or suggestions contact the developer by clicking here.</t>
  </si>
  <si>
    <t>Inorganic Nitrogen (Inorganic-N)</t>
  </si>
  <si>
    <t>Potassium (K2O)</t>
  </si>
  <si>
    <t>Sulfur (S)</t>
  </si>
  <si>
    <t>Nutrients*</t>
  </si>
  <si>
    <t>* Average values from 193 cattle beef feedlot samples collected across North Dakota. Samples collected by NDSU-CREC Nutrient Management and Livestock Environmental Management Specialists and 319 Watershed Coordinators.</t>
  </si>
  <si>
    <t>Please "Enable Active Content", so the Calculator can perform as expected.</t>
  </si>
  <si>
    <t>ac</t>
  </si>
  <si>
    <t>NDSU Manure Application Calculator for Corn</t>
  </si>
  <si>
    <t>NDSU Carrington REC</t>
  </si>
  <si>
    <t>NDSU Manure Application Calculator for Corn - Phosphorus</t>
  </si>
  <si>
    <t>NDSU Manure Application Calculator for Corn - Nitrogen</t>
  </si>
  <si>
    <t>Anhydrous NH3</t>
  </si>
  <si>
    <t>UAN-28%</t>
  </si>
  <si>
    <t>(Solid Beef Feedlot Manure)</t>
  </si>
  <si>
    <t>11. NET CASH VALUE , $/ac</t>
  </si>
  <si>
    <r>
      <t xml:space="preserve">12. NET CASH VALUE </t>
    </r>
    <r>
      <rPr>
        <b/>
        <sz val="11"/>
        <color theme="1"/>
        <rFont val="Calibri"/>
        <family val="2"/>
        <scheme val="minor"/>
      </rPr>
      <t xml:space="preserve"> minus Extra K2O value</t>
    </r>
    <r>
      <rPr>
        <sz val="11"/>
        <color theme="1"/>
        <rFont val="Calibri"/>
        <family val="2"/>
        <scheme val="minor"/>
      </rPr>
      <t xml:space="preserve"> , $/ac</t>
    </r>
  </si>
  <si>
    <t xml:space="preserve"> Manure Cash Value</t>
  </si>
  <si>
    <t>11. NET CASH VALUE, $/ac</t>
  </si>
  <si>
    <t xml:space="preserve">  7.1 Nutrient Availability Factor, %</t>
  </si>
  <si>
    <t>Contact Information</t>
  </si>
  <si>
    <t>Paulo Flores</t>
  </si>
  <si>
    <t>Email: paulo.flores@ndsu.edu</t>
  </si>
  <si>
    <t>Phone:701-652-2951</t>
  </si>
  <si>
    <t>Sulfur</t>
  </si>
  <si>
    <t>21-00-00-24</t>
  </si>
  <si>
    <t xml:space="preserve">  9.5 Application Cost, $/ac</t>
  </si>
  <si>
    <t xml:space="preserve">  9.6 TOTAL Cost, $/ac</t>
  </si>
  <si>
    <t xml:space="preserve">  9.4 Sulfur (S-SO4), $/ac</t>
  </si>
  <si>
    <t xml:space="preserve">  10.3 Sulfur (S-SO4), $/ac</t>
  </si>
  <si>
    <t xml:space="preserve">  10.4 Sulfur (S-SO4), $/ac</t>
  </si>
  <si>
    <t xml:space="preserve">  10.5 TOTAL Extra Nutrient Value, $/ac</t>
  </si>
  <si>
    <t>S-SO4</t>
  </si>
  <si>
    <t>13. NET CASH VALUE for the Field  , $</t>
  </si>
  <si>
    <r>
      <t xml:space="preserve">14. NET CASH VALUE for the  Field </t>
    </r>
    <r>
      <rPr>
        <b/>
        <sz val="11"/>
        <color theme="1"/>
        <rFont val="Calibri"/>
        <family val="2"/>
        <scheme val="minor"/>
      </rPr>
      <t>minus Extra K2O value</t>
    </r>
    <r>
      <rPr>
        <sz val="11"/>
        <color theme="1"/>
        <rFont val="Calibri"/>
        <family val="2"/>
        <scheme val="minor"/>
      </rPr>
      <t>, $</t>
    </r>
  </si>
  <si>
    <t>13. NET CASH VALUE for the  Field  , $</t>
  </si>
  <si>
    <t xml:space="preserve">  7.12 Amount for the Field, ton</t>
  </si>
  <si>
    <t xml:space="preserve">  7.13 Number of Loads for the Field</t>
  </si>
  <si>
    <t xml:space="preserve">  7.2 Nutrient Available, lbs/ton</t>
  </si>
  <si>
    <t xml:space="preserve">  7.3 Nutrient Available, lb/ac</t>
  </si>
  <si>
    <t xml:space="preserve">  7.4 Nutrient Balance, lbs/ac</t>
  </si>
  <si>
    <t>8. Nutrient Recommendation, lb/ac</t>
  </si>
  <si>
    <t xml:space="preserve">  8.1 Fertilizer Apllication Rate, lbs/ac</t>
  </si>
  <si>
    <t xml:space="preserve">  8.2 Nutrient Balance, lbs/ac</t>
  </si>
  <si>
    <t>10. Extra Nutrient Value</t>
  </si>
  <si>
    <t xml:space="preserve">  10.5 TOTAL Extra Nutrient Value for the  Field, $</t>
  </si>
  <si>
    <t xml:space="preserve">  7.5 Commercial Fertilizer Application Rate, lbs/ac</t>
  </si>
  <si>
    <t xml:space="preserve">  7.13 Amount for the Field, ton</t>
  </si>
  <si>
    <t xml:space="preserve">  7.14 Number of Loads for the Field</t>
  </si>
  <si>
    <t>8. Nutrient Recommendation, lbs/ac</t>
  </si>
  <si>
    <t xml:space="preserve">  8.1 Fertilizer Application Rate, lbs/ac</t>
  </si>
  <si>
    <t xml:space="preserve">  9.7 TOTAL Cost for the Field, $</t>
  </si>
  <si>
    <t xml:space="preserve">  10.6 TOTAL Extra Nutrient Value for the Field, $</t>
  </si>
  <si>
    <t>Nitrogen Corn Requirement</t>
  </si>
  <si>
    <t>Phosphorus Corn Requirement</t>
  </si>
  <si>
    <t>$/lb Fertilizer</t>
  </si>
  <si>
    <t>……………………...….. Fertilizer Prices ………………...………..</t>
  </si>
  <si>
    <t>…………………..….... Fertilizer Prices ………..………..……..</t>
  </si>
  <si>
    <t>N-Fertilizer Cost/ac  when Line 7.7 &lt; Line 7.6</t>
  </si>
  <si>
    <t>5. Region in the State and Irrigation Status</t>
  </si>
  <si>
    <t>West river-non irrigated</t>
  </si>
  <si>
    <t>East river-non irrigated</t>
  </si>
  <si>
    <t>Irrigated</t>
  </si>
  <si>
    <t>Precision Agriculture Specialist</t>
  </si>
  <si>
    <t>Updated on 02/04/2017</t>
  </si>
  <si>
    <r>
      <rPr>
        <b/>
        <sz val="11"/>
        <color theme="1"/>
        <rFont val="Calibri"/>
        <family val="2"/>
        <scheme val="minor"/>
      </rPr>
      <t>About the Spreadsheet</t>
    </r>
    <r>
      <rPr>
        <sz val="11"/>
        <color theme="1"/>
        <rFont val="Calibri"/>
        <family val="2"/>
        <scheme val="minor"/>
      </rPr>
      <t xml:space="preserve">
- Please "Enable Active Content" (Microsoft Excel disables those functions as default) on Microsoft Excel so the calculator can perform as expected. 
- The fields highlighted in light blue throughout the spreadsheets are customizable and producers should add/change the values in those cells to reflect the values of their operation.
- This calculator was designed to serve as a tool for producers to assess the nutrient value, on a cash basis, of beef feedlot manure when compared to commercial fertilizer, and to assist them with nutrient management on their operation. 
- On the calculator home screen, producers can select if the manure is going to be applied to meet "Nitrogen Crop Requirements" or "Phosphorus Crop Requirements". When applying manure to meet “Nitrogen Crop Requirements”, the spreadsheet calculates the "Application Rate" (Line 7.6) that will supply the total amount of N recommended for corn (Line 6). Because the recommended rate may be considered too high for some producers, there is a cell to enter the "Actual Manure Application Rate" (Line 7.7), that can be the same or smaller than the one listed on Line 7.6. Rates higher than the one on Line 7.6 are not recommended, since that would result in over application of nutrients, which can become an environmental issue.
- The calculator provides a “Nutrients Balance” (Line 7.4) taking into consideration the nutrient contributions from manure and commercial fertilizers (when appropriate).  A negative number means that there is a deficit of that specific nutrient and that amount should be supplemented using a commercial fertilizer. This rate is shown on Line 7.5 (for the fertilizer sources listed in each spreadsheet). 
- The “Manure Net Cash Value” is calculated taking into consideration the amount of nutrients applied as manure and the cost per unit of N, P2O5, K2O and S in each of the fertilizers listed on the spreadsheets.  Therefore, a change on the source of N (Urea, Anhydrous Ammonia, or UAN-28%) or P (11-52-00 or 18-46-00) will change the final “Manure Net Cash Value”. The consideration or not of S application will change that value as well.
- This calculator is not intended to provide N recommendations for corn production in ND. For that, producers are directed to the North Dakota Corn Nitrogen Calculator’ website, to determine the N recommendation for their operation, and then enter that number on Line 6 (Nutrient Recommendation), under the Nitrogen column of this calculator. The nutrient recommendations for P and K are determined using tables presented on the NDSU publication SF-882 (Revised) (North Dakota Fertilizer Recommendations Tables and Equations).
- This calculator can be used to: 1) calculate nutrient balance when using manure and different sources of commercial fertilizer; 2) calculate the individual cost of nutrients plus the application cost when applying manure and/or fertilizer; 3) assess the maximum cost for manure per load; 4) determine the maximum manure hauling distance; 5) determine the amount of manure and number of loads necessary for a specific field.
- The calculator has an option to perform the calculations using average values for manure nutrient content. As the amount of nutrients in manure show great variability, it is strongly recommended that producers have an analysis report for the manure that they are planning to apply on their fields. For that reason, the default option selected for the question "Do you have a manure analysis report?" is "YES" (Lines 5 and 6 in the furthest right column).
</t>
    </r>
    <r>
      <rPr>
        <b/>
        <sz val="11"/>
        <color theme="1"/>
        <rFont val="Calibri"/>
        <family val="2"/>
        <scheme val="minor"/>
      </rPr>
      <t>Spreadsheet Content</t>
    </r>
    <r>
      <rPr>
        <sz val="11"/>
        <color theme="1"/>
        <rFont val="Calibri"/>
        <family val="2"/>
        <scheme val="minor"/>
      </rPr>
      <t xml:space="preserve">
</t>
    </r>
    <r>
      <rPr>
        <b/>
        <i/>
        <sz val="11"/>
        <color theme="1"/>
        <rFont val="Calibri"/>
        <family val="2"/>
        <scheme val="minor"/>
      </rPr>
      <t xml:space="preserve">General Information </t>
    </r>
    <r>
      <rPr>
        <sz val="11"/>
        <color theme="1"/>
        <rFont val="Calibri"/>
        <family val="2"/>
        <scheme val="minor"/>
      </rPr>
      <t xml:space="preserve">
General information about the user's field (ID, area), soil (nutrient content) and yield potential.
</t>
    </r>
    <r>
      <rPr>
        <b/>
        <i/>
        <sz val="11"/>
        <color theme="1"/>
        <rFont val="Calibri"/>
        <family val="2"/>
        <scheme val="minor"/>
      </rPr>
      <t>Manure Incorporation - Please Select One</t>
    </r>
    <r>
      <rPr>
        <sz val="11"/>
        <color theme="1"/>
        <rFont val="Calibri"/>
        <family val="2"/>
        <scheme val="minor"/>
      </rPr>
      <t xml:space="preserve">
The amount of the Ammonium-N that will be available for the crop is affected the number of the days that the manure remains in the soil surface without being incorporated. This choice will be reflected on the Nutrient Availability Factor (Line 7.1) and on the amount of N that will be available from manure to the crop (Line 7.2).
</t>
    </r>
    <r>
      <rPr>
        <b/>
        <i/>
        <sz val="11"/>
        <color theme="1"/>
        <rFont val="Calibri"/>
        <family val="2"/>
        <scheme val="minor"/>
      </rPr>
      <t>Nitrogen Source - Please Select One</t>
    </r>
    <r>
      <rPr>
        <sz val="11"/>
        <color theme="1"/>
        <rFont val="Calibri"/>
        <family val="2"/>
        <scheme val="minor"/>
      </rPr>
      <t xml:space="preserve">
Select from the dropdown list the N fertilizer you will be using on your operation. When a new source of N is selected, the spreadsheet automatically recalculates a series of new values associated with the N content and the cost of the new N source selected.
</t>
    </r>
    <r>
      <rPr>
        <b/>
        <i/>
        <sz val="11"/>
        <color theme="1"/>
        <rFont val="Calibri"/>
        <family val="2"/>
        <scheme val="minor"/>
      </rPr>
      <t>Phosphorus Source - Please Select One</t>
    </r>
    <r>
      <rPr>
        <sz val="11"/>
        <color theme="1"/>
        <rFont val="Calibri"/>
        <family val="2"/>
        <scheme val="minor"/>
      </rPr>
      <t xml:space="preserve">
Select from the dropdown list the P fertilizer you will be using on your operation. When a new source of P is selected, the spreadsheet automatically recalculates a series of new values associated with the P and N content and the cost of the new P source selected.
</t>
    </r>
    <r>
      <rPr>
        <b/>
        <i/>
        <sz val="11"/>
        <color theme="1"/>
        <rFont val="Calibri"/>
        <family val="2"/>
        <scheme val="minor"/>
      </rPr>
      <t>Do you have a manure analysis report?</t>
    </r>
    <r>
      <rPr>
        <sz val="11"/>
        <color theme="1"/>
        <rFont val="Calibri"/>
        <family val="2"/>
        <scheme val="minor"/>
      </rPr>
      <t xml:space="preserve">
If "YES" is selected, the user will be asked to enter the values for Ammonium-N, Organic-N, P2O5, K2O and S (all in lbs./ton) in line 7. If "NO" is selected, all the calculations will be done using average nutrient values for manure. Those average values are listed in the “Tables” tab in the Excel workbook.
</t>
    </r>
    <r>
      <rPr>
        <b/>
        <i/>
        <sz val="11"/>
        <color theme="1"/>
        <rFont val="Calibri"/>
        <family val="2"/>
        <scheme val="minor"/>
      </rPr>
      <t>Fertilizer (Sources and Prices)</t>
    </r>
    <r>
      <rPr>
        <sz val="11"/>
        <color theme="1"/>
        <rFont val="Calibri"/>
        <family val="2"/>
        <scheme val="minor"/>
      </rPr>
      <t xml:space="preserve">
The fertilizer sources listed in both spreadsheets are the ones most commonly used for crop production in ND.
</t>
    </r>
    <r>
      <rPr>
        <b/>
        <i/>
        <sz val="11"/>
        <color theme="1"/>
        <rFont val="Calibri"/>
        <family val="2"/>
        <scheme val="minor"/>
      </rPr>
      <t>Manure Nutrient Content (Line 7)</t>
    </r>
    <r>
      <rPr>
        <sz val="11"/>
        <color theme="1"/>
        <rFont val="Calibri"/>
        <family val="2"/>
        <scheme val="minor"/>
      </rPr>
      <t xml:space="preserve">
This refers to the nutrient content listed on your Manure Analysis Report. Make sure to use the values that are listed as lbs./ton.
</t>
    </r>
    <r>
      <rPr>
        <b/>
        <i/>
        <sz val="11"/>
        <color theme="1"/>
        <rFont val="Calibri"/>
        <family val="2"/>
        <scheme val="minor"/>
      </rPr>
      <t>Manure - Actual Application Rate (Line 7.7 - Nitrogen Spreadsheet)</t>
    </r>
    <r>
      <rPr>
        <sz val="11"/>
        <color theme="1"/>
        <rFont val="Calibri"/>
        <family val="2"/>
        <scheme val="minor"/>
      </rPr>
      <t xml:space="preserve">
In Line 7.6, there is a calculated "Application Rate" that will supply all of the N required by the crop. If manure is the only source of N to be used, the values in Lines 7.6 and 7.7 should be the same. If the value in Line 7.7 is smaller than the one on Line 7.6, the amount of manure to be applied will not be enough to supply all of the N required by the corn. So, some extra N has to be supplied as commercial fertilizer. The amount of nutrient will be shown in Line 7.4 (Nutrients Balance), as a negative number, and the fertilizer rate will be shown in Line 7.5.
</t>
    </r>
    <r>
      <rPr>
        <b/>
        <i/>
        <sz val="11"/>
        <color theme="1"/>
        <rFont val="Calibri"/>
        <family val="2"/>
        <scheme val="minor"/>
      </rPr>
      <t>Commercial Fertilizer (Line 8)</t>
    </r>
    <r>
      <rPr>
        <sz val="11"/>
        <color theme="1"/>
        <rFont val="Calibri"/>
        <family val="2"/>
        <scheme val="minor"/>
      </rPr>
      <t xml:space="preserve">
Calculates the commercial fertilizer needs for corn based on the sources of nutrients selected when there is no manure application. 
</t>
    </r>
    <r>
      <rPr>
        <b/>
        <i/>
        <sz val="11"/>
        <color theme="1"/>
        <rFont val="Calibri"/>
        <family val="2"/>
        <scheme val="minor"/>
      </rPr>
      <t>Costs (Line 9)</t>
    </r>
    <r>
      <rPr>
        <sz val="11"/>
        <color theme="1"/>
        <rFont val="Calibri"/>
        <family val="2"/>
        <scheme val="minor"/>
      </rPr>
      <t xml:space="preserve">
The cost per unit of nutrient (N, P2O5, K2O and S) contained in the manure or commercial fertilizer is the same, and it is based on the price of the different sources of N, P, K, and S fertilizers. With that in mind, the cost of N ($/ac, Line 9.1) for “Manure” and “Fertilizer” should be the same if the other sources of nutrients (P, K and S) would have no N. As an example, the most commonly used source of P fertilizer in ND is 11-52-00, which contains 11% N. Therefore, that N should be accounted for in the balance of nutrients and a lower rate of N fertilizer should be applied per acre, resulting in a slight lower N cost per unit area when using only commercial fertilizer. When relaying only on commercial fertilizer applications, producers will have a cost associated with each individual nutrient (S only if needed) recommended for corn production. When manure is used as source of nutrients, producers will see a cost associated with the target nutrient (N or P), and for those nutrients which the manure application did not reach the corn nutrient recommendations, which need to be supplemented as commercial fertilizer. In the case of N, the cost of the supplemental N fertilizer will show as a white line in the large gray box (on top of the “Print Nirtogen Report” button). The cost to apply that supplemental fertilizer amount is figured out in the application cost.
</t>
    </r>
    <r>
      <rPr>
        <b/>
        <i/>
        <sz val="11"/>
        <color theme="1"/>
        <rFont val="Calibri"/>
        <family val="2"/>
        <scheme val="minor"/>
      </rPr>
      <t>Additional Nutrient Value (Line 10)</t>
    </r>
    <r>
      <rPr>
        <sz val="11"/>
        <color theme="1"/>
        <rFont val="Calibri"/>
        <family val="2"/>
        <scheme val="minor"/>
      </rPr>
      <t xml:space="preserve">
The calculation of the additional nutrient values when applying manure is different when using the N or P spreadsheets. When using the first spreadsheet the N value is based on the assumption that 15% of the organic N in the manure will be available for the second year plus all the other nutrients (P2O5, K2O, and S) provided with the manure application. When using the P spreadsheet, the additional nutrient value of manure is calculated based on the value of the amount of N provided in the first year, plus the assumption that 15% of the organic N in the manure will be available for the second year, plus all the K2O and S provided with that manure application. For this calculator, the commercial fertilizer additional nutrient value is considered the N amounts present in P and S fertilizer sources used in the calculations (i.e. 11-52-00 is a source of P, and it contains 11%  N; 21-00-00-24 is a source of S, and it contains 21% sulfur). 
</t>
    </r>
    <r>
      <rPr>
        <b/>
        <i/>
        <sz val="11"/>
        <color theme="1"/>
        <rFont val="Calibri"/>
        <family val="2"/>
        <scheme val="minor"/>
      </rPr>
      <t>Manure Cash Value (Lines 11 and 14)</t>
    </r>
    <r>
      <rPr>
        <sz val="11"/>
        <color theme="1"/>
        <rFont val="Calibri"/>
        <family val="2"/>
        <scheme val="minor"/>
      </rPr>
      <t xml:space="preserve">
The “Net Cash Value” per acre (Line 11) is calculated by the following expression: (Fertilizer Total Cost, $/ac) - (Manure Total Cost, $/ac) + (Manure Additional Nutrient Value, $/ac) - (Fertilizer Additional Nutrient Value, $/ac). Due to the natural high soil K content, several producers do not apply K fertilizers. For that reason, in Line 12 there is a “Net Cash Value” without considering the K2O additional nutrient value in manure. Lines 13 and 14 show the net cash values for the whole field, based on the area entered in Line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</si>
</sst>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249977111117893"/>
      <name val="Calibri"/>
      <family val="2"/>
      <scheme val="minor"/>
    </font>
    <font>
      <i/>
      <sz val="11"/>
      <color theme="1"/>
      <name val="Calibri"/>
      <family val="2"/>
      <scheme val="minor"/>
    </font>
    <font>
      <sz val="11"/>
      <color rgb="FFA81308"/>
      <name val="Calibri"/>
      <family val="2"/>
      <scheme val="minor"/>
    </font>
    <font>
      <sz val="9"/>
      <color indexed="81"/>
      <name val="Tahoma"/>
      <family val="2"/>
    </font>
    <font>
      <u/>
      <sz val="11"/>
      <color theme="10"/>
      <name val="Calibri"/>
      <family val="2"/>
      <scheme val="minor"/>
    </font>
    <font>
      <b/>
      <sz val="11"/>
      <color rgb="FFFF0000"/>
      <name val="Calibri"/>
      <family val="2"/>
      <scheme val="minor"/>
    </font>
    <font>
      <b/>
      <i/>
      <sz val="12"/>
      <color theme="1"/>
      <name val="Calibri"/>
      <family val="2"/>
      <scheme val="minor"/>
    </font>
    <font>
      <sz val="10"/>
      <color theme="1"/>
      <name val="Calibri"/>
      <family val="2"/>
      <scheme val="minor"/>
    </font>
    <font>
      <sz val="14"/>
      <color theme="1"/>
      <name val="Calibri"/>
      <family val="2"/>
      <scheme val="minor"/>
    </font>
    <font>
      <b/>
      <sz val="20"/>
      <color theme="1"/>
      <name val="Calibri"/>
      <family val="2"/>
      <scheme val="minor"/>
    </font>
    <font>
      <sz val="16"/>
      <color rgb="FF000000"/>
      <name val="Calibri"/>
      <family val="2"/>
    </font>
    <font>
      <sz val="11"/>
      <name val="Calibri"/>
      <family val="2"/>
      <scheme val="minor"/>
    </font>
    <font>
      <sz val="11"/>
      <color theme="4"/>
      <name val="Calibri"/>
      <family val="2"/>
      <scheme val="minor"/>
    </font>
    <font>
      <b/>
      <sz val="10"/>
      <color theme="2" tint="-0.499984740745262"/>
      <name val="Calibri"/>
      <family val="2"/>
      <scheme val="minor"/>
    </font>
    <font>
      <b/>
      <sz val="11"/>
      <color rgb="FF000000"/>
      <name val="Calibri"/>
      <family val="2"/>
    </font>
    <font>
      <i/>
      <sz val="11"/>
      <name val="Calibri"/>
      <family val="2"/>
      <scheme val="minor"/>
    </font>
    <font>
      <b/>
      <i/>
      <sz val="12"/>
      <name val="Calibri"/>
      <family val="2"/>
      <scheme val="minor"/>
    </font>
    <font>
      <sz val="11"/>
      <color theme="9" tint="-0.249977111117893"/>
      <name val="Calibri"/>
      <family val="2"/>
      <scheme val="minor"/>
    </font>
    <font>
      <sz val="11"/>
      <color theme="9" tint="0.79998168889431442"/>
      <name val="Calibri"/>
      <family val="2"/>
      <scheme val="minor"/>
    </font>
    <font>
      <b/>
      <sz val="24"/>
      <color theme="1"/>
      <name val="Arial"/>
      <family val="2"/>
    </font>
    <font>
      <b/>
      <i/>
      <sz val="16"/>
      <color theme="1"/>
      <name val="Calibri"/>
      <family val="2"/>
      <scheme val="minor"/>
    </font>
    <font>
      <b/>
      <i/>
      <sz val="20"/>
      <color theme="1"/>
      <name val="Calibri"/>
      <family val="2"/>
      <scheme val="minor"/>
    </font>
    <font>
      <b/>
      <sz val="14"/>
      <color theme="1"/>
      <name val="Arial"/>
      <family val="2"/>
    </font>
    <font>
      <b/>
      <i/>
      <sz val="13"/>
      <color theme="1"/>
      <name val="Calibri"/>
      <family val="2"/>
      <scheme val="minor"/>
    </font>
    <font>
      <b/>
      <sz val="12"/>
      <color theme="1"/>
      <name val="Calibri"/>
      <family val="2"/>
      <scheme val="minor"/>
    </font>
    <font>
      <sz val="11"/>
      <color rgb="FFFF0000"/>
      <name val="Calibri"/>
      <family val="2"/>
      <scheme val="minor"/>
    </font>
    <font>
      <i/>
      <sz val="11"/>
      <color rgb="FFFF0000"/>
      <name val="Calibri"/>
      <family val="2"/>
      <scheme val="minor"/>
    </font>
    <font>
      <b/>
      <i/>
      <sz val="14"/>
      <color theme="1"/>
      <name val="Calibri"/>
      <family val="2"/>
      <scheme val="minor"/>
    </font>
    <font>
      <i/>
      <sz val="11"/>
      <color theme="0" tint="-0.249977111117893"/>
      <name val="Calibri"/>
      <family val="2"/>
      <scheme val="minor"/>
    </font>
    <font>
      <b/>
      <sz val="22"/>
      <color theme="1"/>
      <name val="Arial"/>
      <family val="2"/>
    </font>
    <font>
      <b/>
      <sz val="14"/>
      <color theme="4" tint="-0.249977111117893"/>
      <name val="Calibri"/>
      <family val="2"/>
      <scheme val="minor"/>
    </font>
    <font>
      <b/>
      <sz val="11"/>
      <color theme="0" tint="-0.249977111117893"/>
      <name val="Calibri"/>
      <family val="2"/>
      <scheme val="minor"/>
    </font>
    <font>
      <b/>
      <i/>
      <sz val="11"/>
      <color theme="1"/>
      <name val="Calibri"/>
      <family val="2"/>
      <scheme val="minor"/>
    </font>
    <font>
      <sz val="8"/>
      <color theme="0" tint="-0.249977111117893"/>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49998474074526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61">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Dashed">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mediumDash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358">
    <xf numFmtId="0" fontId="0" fillId="0" borderId="0" xfId="0"/>
    <xf numFmtId="0" fontId="0" fillId="0" borderId="0" xfId="0" applyProtection="1">
      <protection locked="0"/>
    </xf>
    <xf numFmtId="0" fontId="0" fillId="0" borderId="0" xfId="0" applyProtection="1"/>
    <xf numFmtId="0" fontId="0" fillId="3" borderId="11" xfId="0" applyFill="1" applyBorder="1" applyProtection="1">
      <protection locked="0"/>
    </xf>
    <xf numFmtId="0" fontId="0" fillId="0" borderId="11" xfId="0" applyBorder="1" applyProtection="1"/>
    <xf numFmtId="0" fontId="2" fillId="0" borderId="9" xfId="0" applyFont="1" applyBorder="1" applyProtection="1"/>
    <xf numFmtId="0" fontId="0" fillId="0" borderId="19" xfId="0" applyBorder="1" applyProtection="1"/>
    <xf numFmtId="0" fontId="0" fillId="0" borderId="19" xfId="0" applyFill="1" applyBorder="1" applyProtection="1"/>
    <xf numFmtId="0" fontId="0" fillId="0" borderId="21" xfId="0" applyBorder="1" applyProtection="1"/>
    <xf numFmtId="0" fontId="0" fillId="0" borderId="20" xfId="0" applyBorder="1" applyAlignment="1" applyProtection="1">
      <alignment horizontal="center"/>
    </xf>
    <xf numFmtId="0" fontId="4" fillId="0" borderId="20" xfId="0" applyFont="1" applyBorder="1" applyAlignment="1" applyProtection="1">
      <alignment horizontal="center"/>
    </xf>
    <xf numFmtId="0" fontId="0" fillId="0" borderId="20" xfId="0" applyFont="1" applyBorder="1" applyProtection="1"/>
    <xf numFmtId="0" fontId="0" fillId="2" borderId="20" xfId="0" applyFill="1" applyBorder="1" applyProtection="1"/>
    <xf numFmtId="0" fontId="0" fillId="0" borderId="16" xfId="0" applyBorder="1" applyProtection="1"/>
    <xf numFmtId="0" fontId="4" fillId="0" borderId="19" xfId="0" applyFont="1" applyBorder="1" applyProtection="1"/>
    <xf numFmtId="0" fontId="4" fillId="0" borderId="21" xfId="0" applyFont="1" applyBorder="1" applyProtection="1"/>
    <xf numFmtId="49" fontId="0" fillId="0" borderId="16" xfId="0" applyNumberFormat="1" applyFont="1" applyFill="1" applyBorder="1" applyAlignment="1" applyProtection="1">
      <alignment horizontal="left"/>
    </xf>
    <xf numFmtId="0" fontId="0" fillId="0" borderId="19" xfId="0" applyFont="1" applyBorder="1" applyProtection="1"/>
    <xf numFmtId="0" fontId="0" fillId="0" borderId="19" xfId="0" applyFont="1" applyFill="1" applyBorder="1" applyProtection="1"/>
    <xf numFmtId="0" fontId="0" fillId="0" borderId="21" xfId="0" applyFont="1" applyBorder="1" applyProtection="1"/>
    <xf numFmtId="0" fontId="0" fillId="0" borderId="16" xfId="0" applyFont="1" applyBorder="1" applyProtection="1"/>
    <xf numFmtId="49" fontId="0" fillId="0" borderId="16" xfId="0" applyNumberFormat="1" applyFont="1" applyFill="1" applyBorder="1" applyProtection="1"/>
    <xf numFmtId="0" fontId="0" fillId="0" borderId="0" xfId="0" applyFill="1" applyProtection="1">
      <protection locked="0"/>
    </xf>
    <xf numFmtId="0" fontId="0" fillId="8" borderId="0" xfId="0" applyFill="1" applyProtection="1">
      <protection locked="0"/>
    </xf>
    <xf numFmtId="0" fontId="0" fillId="8" borderId="0" xfId="0" applyFill="1" applyProtection="1"/>
    <xf numFmtId="0" fontId="9" fillId="8" borderId="0" xfId="0" applyFont="1" applyFill="1" applyAlignment="1" applyProtection="1">
      <alignment vertical="center" textRotation="90"/>
    </xf>
    <xf numFmtId="44" fontId="0" fillId="8" borderId="0" xfId="0" applyNumberFormat="1" applyFill="1" applyProtection="1"/>
    <xf numFmtId="0" fontId="0" fillId="9" borderId="9" xfId="2" applyFont="1" applyFill="1" applyBorder="1" applyAlignment="1" applyProtection="1">
      <alignment horizontal="center"/>
    </xf>
    <xf numFmtId="0" fontId="0" fillId="0" borderId="4" xfId="0" applyBorder="1" applyProtection="1"/>
    <xf numFmtId="0" fontId="0" fillId="0" borderId="0" xfId="0" applyBorder="1" applyProtection="1"/>
    <xf numFmtId="0" fontId="0" fillId="0" borderId="5" xfId="0" applyBorder="1" applyProtection="1"/>
    <xf numFmtId="0" fontId="0" fillId="0" borderId="0" xfId="0" applyFill="1" applyProtection="1"/>
    <xf numFmtId="0" fontId="0" fillId="0" borderId="19" xfId="0" applyFill="1" applyBorder="1" applyAlignment="1" applyProtection="1"/>
    <xf numFmtId="0" fontId="0" fillId="8" borderId="0" xfId="0" applyFill="1"/>
    <xf numFmtId="0" fontId="15" fillId="0" borderId="0" xfId="0" applyFont="1" applyProtection="1">
      <protection locked="0"/>
    </xf>
    <xf numFmtId="0" fontId="3" fillId="2" borderId="20" xfId="0" applyFont="1" applyFill="1" applyBorder="1" applyProtection="1">
      <protection hidden="1"/>
    </xf>
    <xf numFmtId="0" fontId="0" fillId="0" borderId="0" xfId="0" applyBorder="1" applyAlignment="1" applyProtection="1">
      <alignment horizontal="center" vertical="center"/>
    </xf>
    <xf numFmtId="0" fontId="0" fillId="0" borderId="0" xfId="0" applyBorder="1"/>
    <xf numFmtId="0" fontId="0" fillId="0" borderId="0" xfId="0" applyFont="1" applyBorder="1" applyAlignment="1" applyProtection="1">
      <alignment horizontal="center" vertical="center"/>
    </xf>
    <xf numFmtId="0" fontId="0" fillId="0" borderId="0" xfId="0" applyFont="1" applyBorder="1" applyAlignment="1" applyProtection="1">
      <alignment vertical="center" wrapText="1"/>
    </xf>
    <xf numFmtId="0" fontId="0" fillId="0" borderId="0" xfId="0" applyFont="1" applyBorder="1" applyAlignment="1">
      <alignment horizontal="center"/>
    </xf>
    <xf numFmtId="0" fontId="0" fillId="0" borderId="0" xfId="0" applyFont="1" applyBorder="1" applyAlignment="1" applyProtection="1">
      <alignment horizontal="center"/>
    </xf>
    <xf numFmtId="0" fontId="0" fillId="0" borderId="32" xfId="0" applyBorder="1" applyProtection="1"/>
    <xf numFmtId="0" fontId="0" fillId="0" borderId="33" xfId="0" applyBorder="1" applyProtection="1"/>
    <xf numFmtId="0" fontId="4" fillId="0" borderId="0" xfId="0" applyFont="1" applyBorder="1" applyProtection="1"/>
    <xf numFmtId="0" fontId="4" fillId="0" borderId="32" xfId="0" applyFont="1" applyBorder="1" applyProtection="1"/>
    <xf numFmtId="0" fontId="2" fillId="0" borderId="33" xfId="0" applyFont="1" applyBorder="1"/>
    <xf numFmtId="0" fontId="0" fillId="0" borderId="0" xfId="0" applyBorder="1" applyAlignment="1">
      <alignment wrapText="1"/>
    </xf>
    <xf numFmtId="0" fontId="0" fillId="0" borderId="36" xfId="0" applyBorder="1" applyProtection="1"/>
    <xf numFmtId="49" fontId="0" fillId="0" borderId="35" xfId="0" applyNumberFormat="1" applyBorder="1" applyAlignment="1" applyProtection="1">
      <alignment horizontal="left" vertical="center"/>
    </xf>
    <xf numFmtId="0" fontId="0" fillId="0" borderId="39" xfId="0" applyBorder="1" applyProtection="1"/>
    <xf numFmtId="0" fontId="2" fillId="0" borderId="30" xfId="0" applyFont="1" applyBorder="1" applyProtection="1"/>
    <xf numFmtId="0" fontId="0" fillId="0" borderId="35" xfId="0" applyFont="1" applyBorder="1" applyProtection="1"/>
    <xf numFmtId="0" fontId="3" fillId="2" borderId="40" xfId="0" applyFont="1" applyFill="1" applyBorder="1" applyProtection="1">
      <protection hidden="1"/>
    </xf>
    <xf numFmtId="0" fontId="0" fillId="0" borderId="19" xfId="0" applyBorder="1" applyProtection="1">
      <protection locked="0"/>
    </xf>
    <xf numFmtId="0" fontId="0" fillId="0" borderId="42" xfId="0" applyBorder="1" applyProtection="1"/>
    <xf numFmtId="0" fontId="3" fillId="2" borderId="43" xfId="0" applyFont="1" applyFill="1" applyBorder="1" applyProtection="1">
      <protection hidden="1"/>
    </xf>
    <xf numFmtId="0" fontId="0" fillId="3" borderId="20" xfId="0" applyFont="1" applyFill="1" applyBorder="1" applyProtection="1">
      <protection locked="0"/>
    </xf>
    <xf numFmtId="0" fontId="4" fillId="3" borderId="20" xfId="0" applyFont="1" applyFill="1" applyBorder="1" applyProtection="1">
      <protection locked="0"/>
    </xf>
    <xf numFmtId="44" fontId="4" fillId="3" borderId="20" xfId="1" applyFont="1" applyFill="1" applyBorder="1" applyProtection="1">
      <protection locked="0"/>
    </xf>
    <xf numFmtId="44" fontId="4" fillId="3" borderId="7" xfId="1" applyFont="1" applyFill="1" applyBorder="1" applyProtection="1">
      <protection locked="0"/>
    </xf>
    <xf numFmtId="0" fontId="0" fillId="0" borderId="42" xfId="0" applyFont="1" applyFill="1" applyBorder="1" applyProtection="1"/>
    <xf numFmtId="0" fontId="0" fillId="0" borderId="45" xfId="0" applyFont="1" applyFill="1" applyBorder="1" applyProtection="1"/>
    <xf numFmtId="44" fontId="1" fillId="3" borderId="22" xfId="1" applyFont="1" applyFill="1" applyBorder="1" applyAlignment="1" applyProtection="1">
      <alignment vertical="center"/>
      <protection locked="0"/>
    </xf>
    <xf numFmtId="1" fontId="4" fillId="3" borderId="20" xfId="0" applyNumberFormat="1" applyFont="1" applyFill="1" applyBorder="1" applyAlignment="1" applyProtection="1">
      <alignment horizontal="center"/>
      <protection locked="0"/>
    </xf>
    <xf numFmtId="2" fontId="4" fillId="3" borderId="20" xfId="0" applyNumberFormat="1" applyFont="1" applyFill="1" applyBorder="1" applyAlignment="1" applyProtection="1">
      <alignment horizontal="center"/>
      <protection locked="0"/>
    </xf>
    <xf numFmtId="44" fontId="0" fillId="0" borderId="0" xfId="0" applyNumberFormat="1" applyProtection="1">
      <protection locked="0"/>
    </xf>
    <xf numFmtId="0" fontId="14" fillId="2" borderId="43" xfId="0" applyFont="1" applyFill="1" applyBorder="1" applyProtection="1"/>
    <xf numFmtId="39" fontId="18" fillId="3" borderId="20" xfId="1" applyNumberFormat="1" applyFont="1" applyFill="1" applyBorder="1" applyAlignment="1" applyProtection="1">
      <alignment horizontal="center"/>
      <protection locked="0"/>
    </xf>
    <xf numFmtId="0" fontId="18" fillId="3" borderId="20" xfId="0" applyFont="1" applyFill="1" applyBorder="1" applyAlignment="1" applyProtection="1">
      <alignment horizontal="center"/>
      <protection locked="0"/>
    </xf>
    <xf numFmtId="39" fontId="14" fillId="3" borderId="20" xfId="1" applyNumberFormat="1" applyFont="1" applyFill="1" applyBorder="1" applyAlignment="1" applyProtection="1">
      <alignment horizontal="center"/>
      <protection locked="0"/>
    </xf>
    <xf numFmtId="1" fontId="14" fillId="3" borderId="20" xfId="0" applyNumberFormat="1" applyFont="1" applyFill="1" applyBorder="1" applyAlignment="1" applyProtection="1">
      <alignment horizontal="center"/>
      <protection locked="0"/>
    </xf>
    <xf numFmtId="0" fontId="4" fillId="0" borderId="20" xfId="0" applyFont="1" applyFill="1" applyBorder="1" applyProtection="1"/>
    <xf numFmtId="0" fontId="14" fillId="0" borderId="0" xfId="2" applyFont="1" applyBorder="1" applyAlignment="1" applyProtection="1">
      <alignment wrapText="1"/>
    </xf>
    <xf numFmtId="0" fontId="0" fillId="0" borderId="1" xfId="0" applyBorder="1" applyAlignment="1" applyProtection="1"/>
    <xf numFmtId="0" fontId="20" fillId="0" borderId="0" xfId="0" applyFont="1" applyFill="1" applyProtection="1"/>
    <xf numFmtId="0" fontId="3" fillId="2" borderId="46" xfId="0" applyFont="1" applyFill="1" applyBorder="1" applyProtection="1">
      <protection hidden="1"/>
    </xf>
    <xf numFmtId="0" fontId="0" fillId="0" borderId="0" xfId="0" applyFill="1" applyBorder="1" applyProtection="1"/>
    <xf numFmtId="0" fontId="0" fillId="0" borderId="0" xfId="0" applyFont="1" applyFill="1" applyBorder="1" applyAlignment="1" applyProtection="1">
      <alignment horizontal="center"/>
    </xf>
    <xf numFmtId="0" fontId="0" fillId="0" borderId="0" xfId="0" applyBorder="1" applyAlignment="1" applyProtection="1"/>
    <xf numFmtId="0" fontId="10" fillId="0" borderId="0" xfId="0" applyFont="1" applyBorder="1" applyProtection="1"/>
    <xf numFmtId="0" fontId="14" fillId="0" borderId="1" xfId="2" applyFont="1" applyBorder="1" applyAlignment="1" applyProtection="1">
      <alignment wrapText="1"/>
    </xf>
    <xf numFmtId="0" fontId="0" fillId="0" borderId="13" xfId="0" applyBorder="1" applyProtection="1"/>
    <xf numFmtId="0" fontId="0" fillId="0" borderId="14" xfId="0" applyBorder="1" applyProtection="1"/>
    <xf numFmtId="0" fontId="0" fillId="0" borderId="15" xfId="0" applyBorder="1" applyProtection="1">
      <protection locked="0"/>
    </xf>
    <xf numFmtId="44" fontId="3" fillId="2" borderId="20" xfId="1" applyNumberFormat="1" applyFont="1" applyFill="1" applyBorder="1" applyAlignment="1" applyProtection="1">
      <alignment horizontal="center"/>
    </xf>
    <xf numFmtId="1" fontId="14" fillId="0" borderId="20" xfId="0" applyNumberFormat="1" applyFont="1" applyBorder="1" applyAlignment="1" applyProtection="1">
      <alignment horizontal="center"/>
      <protection hidden="1"/>
    </xf>
    <xf numFmtId="0" fontId="0" fillId="0" borderId="20" xfId="0" applyFont="1" applyBorder="1" applyAlignment="1" applyProtection="1">
      <alignment horizontal="center"/>
    </xf>
    <xf numFmtId="0" fontId="0" fillId="9" borderId="30" xfId="2" applyFont="1" applyFill="1" applyBorder="1" applyAlignment="1" applyProtection="1">
      <alignment horizontal="center"/>
    </xf>
    <xf numFmtId="0" fontId="3" fillId="2" borderId="20" xfId="0" applyFont="1" applyFill="1" applyBorder="1" applyAlignment="1" applyProtection="1">
      <alignment horizontal="center"/>
      <protection hidden="1"/>
    </xf>
    <xf numFmtId="1" fontId="14" fillId="0" borderId="37" xfId="0" applyNumberFormat="1" applyFont="1" applyBorder="1" applyAlignment="1" applyProtection="1">
      <alignment horizontal="center"/>
      <protection hidden="1"/>
    </xf>
    <xf numFmtId="0" fontId="0" fillId="6" borderId="40" xfId="0" applyFont="1" applyFill="1" applyBorder="1" applyAlignment="1" applyProtection="1">
      <alignment horizontal="center"/>
    </xf>
    <xf numFmtId="0" fontId="0" fillId="6" borderId="41" xfId="0" applyFont="1" applyFill="1" applyBorder="1" applyAlignment="1" applyProtection="1">
      <alignment horizontal="center"/>
    </xf>
    <xf numFmtId="0" fontId="0" fillId="2" borderId="22" xfId="0" applyFill="1" applyBorder="1" applyProtection="1"/>
    <xf numFmtId="1" fontId="0" fillId="3" borderId="22" xfId="0" applyNumberFormat="1" applyFont="1" applyFill="1" applyBorder="1" applyAlignment="1" applyProtection="1">
      <alignment horizontal="center"/>
      <protection locked="0"/>
    </xf>
    <xf numFmtId="0" fontId="18" fillId="3" borderId="41" xfId="0" applyFont="1" applyFill="1" applyBorder="1" applyAlignment="1" applyProtection="1">
      <alignment horizontal="center"/>
      <protection locked="0"/>
    </xf>
    <xf numFmtId="0" fontId="18" fillId="3" borderId="40" xfId="0" applyFont="1" applyFill="1" applyBorder="1" applyAlignment="1" applyProtection="1">
      <alignment horizontal="center"/>
      <protection locked="0"/>
    </xf>
    <xf numFmtId="0" fontId="14" fillId="2" borderId="40" xfId="0" applyFont="1" applyFill="1" applyBorder="1" applyProtection="1"/>
    <xf numFmtId="0" fontId="3" fillId="2" borderId="40" xfId="0" applyFont="1" applyFill="1" applyBorder="1" applyAlignment="1" applyProtection="1">
      <alignment horizontal="center"/>
      <protection hidden="1"/>
    </xf>
    <xf numFmtId="0" fontId="2" fillId="0" borderId="35" xfId="0" applyFont="1" applyBorder="1" applyProtection="1"/>
    <xf numFmtId="0" fontId="2" fillId="0" borderId="21" xfId="0" applyFont="1" applyBorder="1" applyProtection="1"/>
    <xf numFmtId="1" fontId="28" fillId="2" borderId="20" xfId="0" applyNumberFormat="1" applyFont="1" applyFill="1" applyBorder="1" applyAlignment="1" applyProtection="1">
      <alignment horizontal="center"/>
    </xf>
    <xf numFmtId="1" fontId="3" fillId="2" borderId="20" xfId="0" applyNumberFormat="1" applyFont="1" applyFill="1" applyBorder="1" applyAlignment="1" applyProtection="1">
      <alignment horizontal="center"/>
    </xf>
    <xf numFmtId="0" fontId="3" fillId="2" borderId="20" xfId="0" applyFont="1" applyFill="1" applyBorder="1" applyProtection="1">
      <protection locked="0"/>
    </xf>
    <xf numFmtId="0" fontId="28" fillId="2" borderId="20" xfId="0" applyFont="1" applyFill="1" applyBorder="1" applyAlignment="1" applyProtection="1">
      <alignment horizontal="center"/>
      <protection hidden="1"/>
    </xf>
    <xf numFmtId="1" fontId="3" fillId="2" borderId="50" xfId="0" applyNumberFormat="1" applyFont="1" applyFill="1" applyBorder="1" applyAlignment="1" applyProtection="1">
      <alignment horizontal="center"/>
      <protection hidden="1"/>
    </xf>
    <xf numFmtId="0" fontId="0" fillId="0" borderId="47" xfId="0" applyFont="1" applyBorder="1" applyProtection="1"/>
    <xf numFmtId="0" fontId="4" fillId="0" borderId="48" xfId="0" applyFont="1" applyFill="1" applyBorder="1" applyProtection="1"/>
    <xf numFmtId="0" fontId="0" fillId="0" borderId="50" xfId="0" applyBorder="1" applyProtection="1"/>
    <xf numFmtId="0" fontId="3" fillId="2" borderId="40" xfId="0" applyFont="1" applyFill="1" applyBorder="1" applyProtection="1"/>
    <xf numFmtId="0" fontId="4" fillId="2" borderId="22" xfId="0" applyFont="1" applyFill="1" applyBorder="1" applyProtection="1"/>
    <xf numFmtId="1" fontId="4" fillId="3" borderId="22" xfId="0" applyNumberFormat="1" applyFont="1" applyFill="1" applyBorder="1" applyAlignment="1" applyProtection="1">
      <alignment horizontal="center"/>
      <protection locked="0"/>
    </xf>
    <xf numFmtId="0" fontId="2" fillId="0" borderId="14" xfId="0" applyFont="1" applyBorder="1" applyProtection="1"/>
    <xf numFmtId="0" fontId="7" fillId="0" borderId="14" xfId="2" applyBorder="1" applyProtection="1"/>
    <xf numFmtId="0" fontId="0" fillId="0" borderId="14" xfId="0" applyBorder="1" applyProtection="1">
      <protection locked="0"/>
    </xf>
    <xf numFmtId="49" fontId="10" fillId="0" borderId="15" xfId="0" applyNumberFormat="1" applyFont="1" applyBorder="1" applyAlignment="1" applyProtection="1">
      <alignment horizontal="right"/>
    </xf>
    <xf numFmtId="0" fontId="0" fillId="0" borderId="36" xfId="0" applyFont="1" applyFill="1" applyBorder="1" applyProtection="1"/>
    <xf numFmtId="0" fontId="0" fillId="0" borderId="15" xfId="0" applyBorder="1" applyProtection="1"/>
    <xf numFmtId="0" fontId="0" fillId="3" borderId="13" xfId="0" applyFill="1" applyBorder="1" applyProtection="1">
      <protection locked="0"/>
    </xf>
    <xf numFmtId="44" fontId="1" fillId="3" borderId="20" xfId="1" applyFont="1" applyFill="1" applyBorder="1" applyAlignment="1" applyProtection="1">
      <alignment vertical="center"/>
      <protection locked="0"/>
    </xf>
    <xf numFmtId="0" fontId="4" fillId="3" borderId="54" xfId="0" applyFont="1" applyFill="1" applyBorder="1" applyAlignment="1" applyProtection="1">
      <alignment horizontal="center"/>
      <protection locked="0"/>
    </xf>
    <xf numFmtId="0" fontId="0" fillId="0" borderId="19" xfId="0" applyFont="1" applyBorder="1" applyAlignment="1" applyProtection="1">
      <alignment horizontal="left" vertical="center"/>
    </xf>
    <xf numFmtId="0" fontId="0" fillId="0" borderId="21" xfId="0" applyFont="1" applyBorder="1" applyAlignment="1" applyProtection="1">
      <alignment horizontal="left" vertical="center"/>
    </xf>
    <xf numFmtId="0" fontId="28" fillId="2" borderId="20" xfId="0" applyFont="1" applyFill="1" applyBorder="1" applyProtection="1">
      <protection hidden="1"/>
    </xf>
    <xf numFmtId="0" fontId="28" fillId="2" borderId="37" xfId="0" applyFont="1" applyFill="1" applyBorder="1" applyProtection="1">
      <protection hidden="1"/>
    </xf>
    <xf numFmtId="0" fontId="28" fillId="2" borderId="17" xfId="0" applyFont="1" applyFill="1" applyBorder="1" applyProtection="1">
      <protection hidden="1"/>
    </xf>
    <xf numFmtId="0" fontId="28" fillId="2" borderId="20" xfId="0" applyFont="1" applyFill="1" applyBorder="1" applyProtection="1"/>
    <xf numFmtId="0" fontId="28" fillId="2" borderId="37" xfId="0" applyFont="1" applyFill="1" applyBorder="1" applyProtection="1"/>
    <xf numFmtId="0" fontId="28" fillId="2" borderId="17" xfId="0" applyFont="1" applyFill="1" applyBorder="1" applyProtection="1"/>
    <xf numFmtId="1" fontId="28" fillId="2" borderId="40" xfId="0" applyNumberFormat="1" applyFont="1" applyFill="1" applyBorder="1" applyAlignment="1" applyProtection="1">
      <alignment horizontal="center"/>
      <protection hidden="1"/>
    </xf>
    <xf numFmtId="0" fontId="28" fillId="2" borderId="41" xfId="0" applyFont="1" applyFill="1" applyBorder="1" applyAlignment="1" applyProtection="1">
      <alignment horizontal="center"/>
      <protection hidden="1"/>
    </xf>
    <xf numFmtId="1" fontId="28" fillId="2" borderId="20" xfId="0" applyNumberFormat="1" applyFont="1" applyFill="1" applyBorder="1" applyAlignment="1" applyProtection="1">
      <alignment horizontal="center"/>
      <protection hidden="1"/>
    </xf>
    <xf numFmtId="0" fontId="28" fillId="2" borderId="7" xfId="0" applyFont="1" applyFill="1" applyBorder="1" applyProtection="1">
      <protection hidden="1"/>
    </xf>
    <xf numFmtId="44" fontId="28" fillId="2" borderId="20" xfId="1" applyNumberFormat="1" applyFont="1" applyFill="1" applyBorder="1" applyAlignment="1" applyProtection="1">
      <alignment horizontal="center"/>
      <protection hidden="1"/>
    </xf>
    <xf numFmtId="0" fontId="28" fillId="2" borderId="7" xfId="0" applyFont="1" applyFill="1" applyBorder="1" applyAlignment="1" applyProtection="1">
      <alignment horizontal="center"/>
      <protection hidden="1"/>
    </xf>
    <xf numFmtId="0" fontId="28" fillId="2" borderId="38" xfId="0" applyFont="1" applyFill="1" applyBorder="1" applyProtection="1">
      <protection hidden="1"/>
    </xf>
    <xf numFmtId="1" fontId="28" fillId="2" borderId="49" xfId="0" applyNumberFormat="1" applyFont="1" applyFill="1" applyBorder="1" applyAlignment="1" applyProtection="1">
      <alignment horizontal="center"/>
      <protection hidden="1"/>
    </xf>
    <xf numFmtId="0" fontId="28" fillId="2" borderId="39" xfId="0" applyFont="1" applyFill="1" applyBorder="1" applyProtection="1">
      <protection locked="0"/>
    </xf>
    <xf numFmtId="0" fontId="28" fillId="2" borderId="39" xfId="0" applyFont="1" applyFill="1" applyBorder="1" applyAlignment="1" applyProtection="1">
      <alignment horizontal="center"/>
      <protection hidden="1"/>
    </xf>
    <xf numFmtId="0" fontId="28" fillId="2" borderId="39" xfId="0" applyFont="1" applyFill="1" applyBorder="1" applyProtection="1"/>
    <xf numFmtId="0" fontId="28" fillId="2" borderId="50" xfId="0" applyFont="1" applyFill="1" applyBorder="1" applyProtection="1"/>
    <xf numFmtId="0" fontId="28" fillId="2" borderId="34" xfId="0" applyFont="1" applyFill="1" applyBorder="1" applyProtection="1"/>
    <xf numFmtId="1" fontId="3" fillId="2" borderId="40" xfId="0" applyNumberFormat="1" applyFont="1" applyFill="1" applyBorder="1" applyAlignment="1" applyProtection="1">
      <alignment horizontal="center"/>
    </xf>
    <xf numFmtId="0" fontId="29" fillId="2" borderId="22" xfId="0" applyFont="1" applyFill="1" applyBorder="1" applyAlignment="1" applyProtection="1"/>
    <xf numFmtId="0" fontId="0" fillId="0" borderId="22" xfId="0" applyBorder="1" applyAlignment="1" applyProtection="1">
      <alignment horizontal="center"/>
    </xf>
    <xf numFmtId="0" fontId="18" fillId="3" borderId="55" xfId="0" applyFont="1" applyFill="1" applyBorder="1" applyAlignment="1" applyProtection="1">
      <alignment horizontal="center"/>
      <protection locked="0"/>
    </xf>
    <xf numFmtId="0" fontId="18" fillId="3" borderId="52" xfId="0" applyFont="1" applyFill="1" applyBorder="1" applyAlignment="1" applyProtection="1">
      <alignment horizontal="center"/>
      <protection locked="0"/>
    </xf>
    <xf numFmtId="0" fontId="1" fillId="11" borderId="0" xfId="2" applyFont="1" applyFill="1" applyBorder="1" applyProtection="1"/>
    <xf numFmtId="0" fontId="0" fillId="0" borderId="39" xfId="0" applyBorder="1" applyAlignment="1" applyProtection="1">
      <alignment horizontal="center"/>
    </xf>
    <xf numFmtId="0" fontId="0" fillId="3" borderId="14" xfId="0" applyFill="1" applyBorder="1" applyProtection="1">
      <protection locked="0"/>
    </xf>
    <xf numFmtId="0" fontId="0" fillId="0" borderId="39" xfId="0" applyFont="1" applyBorder="1" applyAlignment="1" applyProtection="1">
      <alignment vertical="center" wrapText="1"/>
    </xf>
    <xf numFmtId="44" fontId="0" fillId="0" borderId="39" xfId="0" applyNumberFormat="1" applyFont="1" applyBorder="1" applyAlignment="1" applyProtection="1">
      <alignment vertical="center" wrapText="1"/>
    </xf>
    <xf numFmtId="44" fontId="0" fillId="0" borderId="23" xfId="0" applyNumberFormat="1" applyFont="1" applyBorder="1" applyAlignment="1" applyProtection="1">
      <alignment vertical="center" wrapText="1"/>
    </xf>
    <xf numFmtId="0" fontId="0" fillId="2" borderId="4" xfId="0" applyFill="1" applyBorder="1" applyAlignment="1" applyProtection="1"/>
    <xf numFmtId="0" fontId="0" fillId="2" borderId="0" xfId="0" applyFill="1" applyBorder="1" applyAlignment="1" applyProtection="1"/>
    <xf numFmtId="0" fontId="0" fillId="0" borderId="0" xfId="0" applyBorder="1" applyAlignment="1" applyProtection="1">
      <alignment horizontal="left"/>
    </xf>
    <xf numFmtId="0" fontId="0" fillId="0" borderId="7" xfId="0" applyFont="1" applyBorder="1" applyAlignment="1" applyProtection="1">
      <alignment vertical="center" wrapText="1"/>
    </xf>
    <xf numFmtId="44" fontId="0" fillId="0" borderId="7" xfId="0" applyNumberFormat="1" applyFont="1" applyBorder="1" applyAlignment="1" applyProtection="1">
      <alignment vertical="center" wrapText="1"/>
    </xf>
    <xf numFmtId="0" fontId="0" fillId="6" borderId="17" xfId="0" applyFont="1" applyFill="1" applyBorder="1" applyAlignment="1" applyProtection="1">
      <alignment horizontal="center"/>
    </xf>
    <xf numFmtId="0" fontId="0" fillId="6" borderId="18" xfId="0" applyFont="1" applyFill="1" applyBorder="1" applyAlignment="1" applyProtection="1">
      <alignment horizontal="center"/>
    </xf>
    <xf numFmtId="0" fontId="0" fillId="0" borderId="12" xfId="0" applyBorder="1" applyAlignment="1" applyProtection="1">
      <alignment horizontal="center"/>
    </xf>
    <xf numFmtId="44" fontId="3" fillId="2" borderId="4" xfId="1" applyNumberFormat="1" applyFont="1" applyFill="1" applyBorder="1" applyAlignment="1" applyProtection="1">
      <alignment horizontal="center" vertical="center"/>
    </xf>
    <xf numFmtId="44" fontId="0" fillId="0" borderId="20" xfId="1" quotePrefix="1" applyFont="1" applyFill="1" applyBorder="1" applyAlignment="1" applyProtection="1">
      <alignment horizontal="center"/>
    </xf>
    <xf numFmtId="44" fontId="0" fillId="0" borderId="20" xfId="1" applyNumberFormat="1" applyFont="1" applyBorder="1" applyProtection="1"/>
    <xf numFmtId="44" fontId="0" fillId="0" borderId="20" xfId="1" applyFont="1" applyFill="1" applyBorder="1" applyProtection="1"/>
    <xf numFmtId="44" fontId="0" fillId="0" borderId="20" xfId="1" quotePrefix="1" applyFont="1" applyBorder="1" applyProtection="1"/>
    <xf numFmtId="44" fontId="5" fillId="0" borderId="20" xfId="0" applyNumberFormat="1" applyFont="1" applyBorder="1" applyProtection="1"/>
    <xf numFmtId="44" fontId="8" fillId="0" borderId="22" xfId="0" applyNumberFormat="1" applyFont="1" applyBorder="1" applyProtection="1"/>
    <xf numFmtId="0" fontId="0" fillId="0" borderId="17" xfId="0" applyFont="1" applyFill="1" applyBorder="1" applyAlignment="1" applyProtection="1"/>
    <xf numFmtId="44" fontId="0" fillId="0" borderId="20" xfId="1" applyNumberFormat="1" applyFont="1" applyFill="1" applyBorder="1" applyProtection="1"/>
    <xf numFmtId="44" fontId="0" fillId="0" borderId="20" xfId="1" applyFont="1" applyBorder="1" applyProtection="1"/>
    <xf numFmtId="44" fontId="4" fillId="0" borderId="20" xfId="0" applyNumberFormat="1" applyFont="1" applyBorder="1" applyProtection="1"/>
    <xf numFmtId="44" fontId="2" fillId="0" borderId="22" xfId="0" applyNumberFormat="1" applyFont="1" applyBorder="1" applyProtection="1"/>
    <xf numFmtId="44" fontId="0" fillId="0" borderId="7" xfId="1" quotePrefix="1" applyFont="1" applyFill="1" applyBorder="1" applyAlignment="1" applyProtection="1">
      <alignment horizontal="center"/>
    </xf>
    <xf numFmtId="44" fontId="0" fillId="0" borderId="7" xfId="1" applyNumberFormat="1" applyFont="1" applyBorder="1" applyProtection="1"/>
    <xf numFmtId="44" fontId="0" fillId="0" borderId="7" xfId="1" applyFont="1" applyFill="1" applyBorder="1" applyProtection="1"/>
    <xf numFmtId="44" fontId="5" fillId="0" borderId="7" xfId="1" applyFont="1" applyBorder="1" applyProtection="1"/>
    <xf numFmtId="44" fontId="8" fillId="0" borderId="23" xfId="0" applyNumberFormat="1" applyFont="1" applyBorder="1" applyProtection="1"/>
    <xf numFmtId="0" fontId="0" fillId="0" borderId="18" xfId="0" applyFont="1" applyFill="1" applyBorder="1" applyAlignment="1" applyProtection="1"/>
    <xf numFmtId="44" fontId="0" fillId="0" borderId="7" xfId="1" applyNumberFormat="1" applyFont="1" applyFill="1" applyBorder="1" applyProtection="1"/>
    <xf numFmtId="44" fontId="0" fillId="0" borderId="7" xfId="1" applyFont="1" applyBorder="1" applyProtection="1"/>
    <xf numFmtId="44" fontId="2" fillId="0" borderId="23" xfId="0" applyNumberFormat="1" applyFont="1" applyBorder="1" applyProtection="1"/>
    <xf numFmtId="1" fontId="14" fillId="0" borderId="17" xfId="0" quotePrefix="1" applyNumberFormat="1" applyFont="1" applyFill="1" applyBorder="1" applyAlignment="1" applyProtection="1">
      <alignment horizontal="center"/>
    </xf>
    <xf numFmtId="1" fontId="14" fillId="0" borderId="17" xfId="0" applyNumberFormat="1" applyFont="1" applyBorder="1" applyAlignment="1" applyProtection="1">
      <alignment horizontal="center"/>
    </xf>
    <xf numFmtId="1" fontId="14" fillId="0" borderId="18" xfId="0" applyNumberFormat="1" applyFont="1" applyBorder="1" applyAlignment="1" applyProtection="1">
      <alignment horizontal="center"/>
    </xf>
    <xf numFmtId="1" fontId="0" fillId="0" borderId="22" xfId="0" applyNumberFormat="1" applyBorder="1" applyAlignment="1" applyProtection="1">
      <alignment horizontal="center"/>
    </xf>
    <xf numFmtId="0" fontId="0" fillId="0" borderId="23" xfId="0" applyBorder="1" applyAlignment="1" applyProtection="1">
      <alignment horizontal="center"/>
    </xf>
    <xf numFmtId="0" fontId="14" fillId="2" borderId="22" xfId="0" applyFont="1" applyFill="1" applyBorder="1" applyAlignment="1" applyProtection="1">
      <protection hidden="1"/>
    </xf>
    <xf numFmtId="164" fontId="0" fillId="0" borderId="20" xfId="0" applyNumberFormat="1" applyBorder="1" applyAlignment="1" applyProtection="1">
      <alignment horizontal="center"/>
    </xf>
    <xf numFmtId="1" fontId="14" fillId="0" borderId="20" xfId="0" applyNumberFormat="1" applyFont="1" applyBorder="1" applyAlignment="1" applyProtection="1">
      <alignment horizontal="center"/>
    </xf>
    <xf numFmtId="1" fontId="14" fillId="0" borderId="43" xfId="0" quotePrefix="1" applyNumberFormat="1" applyFont="1" applyFill="1" applyBorder="1" applyAlignment="1" applyProtection="1">
      <alignment horizontal="center"/>
    </xf>
    <xf numFmtId="1" fontId="14" fillId="0" borderId="40" xfId="0" applyNumberFormat="1" applyFont="1" applyBorder="1" applyAlignment="1" applyProtection="1">
      <alignment horizontal="center"/>
    </xf>
    <xf numFmtId="164" fontId="0" fillId="0" borderId="20" xfId="0" applyNumberFormat="1" applyFill="1" applyBorder="1" applyAlignment="1" applyProtection="1">
      <alignment horizontal="center"/>
    </xf>
    <xf numFmtId="164" fontId="0" fillId="0" borderId="39" xfId="0" applyNumberFormat="1" applyFill="1" applyBorder="1" applyAlignment="1" applyProtection="1">
      <alignment horizontal="center"/>
    </xf>
    <xf numFmtId="164" fontId="0" fillId="0" borderId="39" xfId="0" applyNumberFormat="1" applyBorder="1" applyAlignment="1" applyProtection="1">
      <alignment horizontal="center"/>
    </xf>
    <xf numFmtId="1" fontId="14" fillId="0" borderId="39" xfId="0" applyNumberFormat="1" applyFont="1" applyBorder="1" applyAlignment="1" applyProtection="1">
      <alignment horizontal="center"/>
    </xf>
    <xf numFmtId="1" fontId="14" fillId="0" borderId="43" xfId="0" applyNumberFormat="1" applyFont="1" applyFill="1" applyBorder="1" applyAlignment="1" applyProtection="1">
      <alignment horizontal="center"/>
    </xf>
    <xf numFmtId="1" fontId="14" fillId="0" borderId="44" xfId="0" applyNumberFormat="1" applyFont="1" applyFill="1" applyBorder="1" applyAlignment="1" applyProtection="1">
      <alignment horizontal="center"/>
    </xf>
    <xf numFmtId="0" fontId="0" fillId="0" borderId="20" xfId="0" applyFill="1" applyBorder="1" applyAlignment="1" applyProtection="1">
      <alignment horizontal="center"/>
    </xf>
    <xf numFmtId="44" fontId="0" fillId="0" borderId="39" xfId="0" applyNumberFormat="1" applyBorder="1" applyProtection="1"/>
    <xf numFmtId="44" fontId="0" fillId="0" borderId="55" xfId="0" applyNumberFormat="1" applyBorder="1" applyProtection="1"/>
    <xf numFmtId="0" fontId="16" fillId="0" borderId="51" xfId="0" applyFont="1" applyBorder="1" applyProtection="1"/>
    <xf numFmtId="0" fontId="16" fillId="10" borderId="56" xfId="0" applyFont="1" applyFill="1" applyBorder="1" applyProtection="1"/>
    <xf numFmtId="1" fontId="0" fillId="0" borderId="20" xfId="0" applyNumberFormat="1" applyFill="1" applyBorder="1" applyAlignment="1" applyProtection="1">
      <alignment horizontal="center"/>
    </xf>
    <xf numFmtId="1" fontId="0" fillId="0" borderId="39" xfId="0" applyNumberFormat="1" applyFill="1" applyBorder="1" applyAlignment="1" applyProtection="1">
      <alignment horizontal="center"/>
    </xf>
    <xf numFmtId="1" fontId="4" fillId="0" borderId="20" xfId="0" applyNumberFormat="1" applyFont="1" applyFill="1" applyBorder="1" applyAlignment="1" applyProtection="1">
      <alignment horizontal="center"/>
    </xf>
    <xf numFmtId="1" fontId="4" fillId="0" borderId="39" xfId="0" applyNumberFormat="1" applyFont="1" applyFill="1" applyBorder="1" applyAlignment="1" applyProtection="1">
      <alignment horizontal="center"/>
    </xf>
    <xf numFmtId="1" fontId="0" fillId="0" borderId="43" xfId="0" quotePrefix="1" applyNumberFormat="1" applyFill="1" applyBorder="1" applyAlignment="1" applyProtection="1">
      <alignment horizontal="center"/>
    </xf>
    <xf numFmtId="1" fontId="14" fillId="0" borderId="53" xfId="0" applyNumberFormat="1" applyFont="1" applyFill="1" applyBorder="1" applyAlignment="1" applyProtection="1">
      <alignment horizontal="center"/>
    </xf>
    <xf numFmtId="1" fontId="0" fillId="0" borderId="40" xfId="0" applyNumberFormat="1" applyFill="1" applyBorder="1" applyAlignment="1" applyProtection="1">
      <alignment horizontal="center"/>
    </xf>
    <xf numFmtId="1" fontId="0" fillId="0" borderId="37" xfId="0" applyNumberFormat="1" applyFill="1" applyBorder="1" applyAlignment="1" applyProtection="1">
      <alignment horizontal="center"/>
    </xf>
    <xf numFmtId="1" fontId="0" fillId="0" borderId="17" xfId="0" applyNumberFormat="1" applyFill="1" applyBorder="1" applyAlignment="1" applyProtection="1">
      <alignment horizontal="center"/>
    </xf>
    <xf numFmtId="1" fontId="0" fillId="0" borderId="17" xfId="0" applyNumberFormat="1" applyBorder="1" applyAlignment="1" applyProtection="1">
      <alignment horizontal="center"/>
    </xf>
    <xf numFmtId="1" fontId="0" fillId="0" borderId="18" xfId="0" applyNumberFormat="1" applyBorder="1" applyAlignment="1" applyProtection="1">
      <alignment horizontal="center"/>
    </xf>
    <xf numFmtId="44" fontId="0" fillId="0" borderId="20" xfId="1" quotePrefix="1" applyNumberFormat="1" applyFont="1" applyBorder="1" applyProtection="1"/>
    <xf numFmtId="44" fontId="4" fillId="0" borderId="7" xfId="0" applyNumberFormat="1" applyFont="1" applyBorder="1" applyProtection="1"/>
    <xf numFmtId="0" fontId="0" fillId="0" borderId="55" xfId="0" applyFont="1" applyBorder="1" applyAlignment="1">
      <alignment horizontal="center"/>
    </xf>
    <xf numFmtId="0" fontId="0" fillId="0" borderId="22" xfId="0" applyFont="1" applyBorder="1" applyAlignment="1">
      <alignment horizontal="center"/>
    </xf>
    <xf numFmtId="0" fontId="36" fillId="2" borderId="40" xfId="0" applyFont="1" applyFill="1" applyBorder="1"/>
    <xf numFmtId="0" fontId="36" fillId="2" borderId="20" xfId="0" applyFont="1" applyFill="1" applyBorder="1"/>
    <xf numFmtId="0" fontId="34" fillId="2" borderId="0" xfId="0" applyFont="1" applyFill="1" applyBorder="1" applyAlignment="1" applyProtection="1">
      <alignment horizontal="left"/>
    </xf>
    <xf numFmtId="0" fontId="34" fillId="2" borderId="11" xfId="0" applyFont="1" applyFill="1" applyBorder="1" applyAlignment="1" applyProtection="1">
      <alignment horizontal="left"/>
    </xf>
    <xf numFmtId="44" fontId="0" fillId="2" borderId="4" xfId="1" applyFont="1" applyFill="1" applyBorder="1" applyAlignment="1" applyProtection="1">
      <alignment horizontal="center"/>
    </xf>
    <xf numFmtId="44" fontId="0" fillId="2" borderId="0" xfId="1" applyFont="1" applyFill="1" applyBorder="1" applyAlignment="1" applyProtection="1">
      <alignment horizontal="center"/>
    </xf>
    <xf numFmtId="44" fontId="0" fillId="2" borderId="11" xfId="1" applyFont="1" applyFill="1" applyBorder="1" applyAlignment="1" applyProtection="1">
      <alignment horizontal="center"/>
    </xf>
    <xf numFmtId="44" fontId="0" fillId="2" borderId="5" xfId="1" applyFont="1" applyFill="1" applyBorder="1" applyAlignment="1" applyProtection="1">
      <alignment horizontal="center"/>
    </xf>
    <xf numFmtId="44" fontId="0" fillId="2" borderId="1" xfId="1" applyFont="1" applyFill="1" applyBorder="1" applyAlignment="1" applyProtection="1">
      <alignment horizontal="center"/>
    </xf>
    <xf numFmtId="44" fontId="0" fillId="2" borderId="12" xfId="1" applyFont="1" applyFill="1" applyBorder="1" applyAlignment="1" applyProtection="1">
      <alignment horizontal="center"/>
    </xf>
    <xf numFmtId="1" fontId="31" fillId="2" borderId="20" xfId="0" applyNumberFormat="1" applyFont="1" applyFill="1" applyBorder="1" applyAlignment="1" applyProtection="1">
      <alignment horizontal="center" vertical="center"/>
    </xf>
    <xf numFmtId="1" fontId="31" fillId="2" borderId="20" xfId="0" applyNumberFormat="1" applyFont="1" applyFill="1" applyBorder="1" applyAlignment="1" applyProtection="1">
      <alignment horizontal="center" vertical="center"/>
      <protection hidden="1"/>
    </xf>
    <xf numFmtId="1" fontId="0" fillId="0" borderId="20" xfId="0" applyNumberFormat="1" applyFill="1" applyBorder="1" applyAlignment="1" applyProtection="1">
      <alignment horizontal="center" vertical="center"/>
    </xf>
    <xf numFmtId="1" fontId="0" fillId="0" borderId="20" xfId="0" quotePrefix="1" applyNumberFormat="1" applyFill="1" applyBorder="1" applyAlignment="1" applyProtection="1">
      <alignment horizontal="center" vertical="center"/>
    </xf>
    <xf numFmtId="1" fontId="0" fillId="0" borderId="20" xfId="0" applyNumberFormat="1" applyFont="1" applyFill="1" applyBorder="1" applyAlignment="1" applyProtection="1">
      <alignment horizontal="center" vertical="center"/>
    </xf>
    <xf numFmtId="1" fontId="0" fillId="0" borderId="7" xfId="0" applyNumberFormat="1" applyFont="1" applyFill="1" applyBorder="1" applyAlignment="1" applyProtection="1">
      <alignment horizontal="center" vertical="center"/>
    </xf>
    <xf numFmtId="44" fontId="2" fillId="0" borderId="38" xfId="0" applyNumberFormat="1" applyFont="1" applyBorder="1" applyAlignment="1" applyProtection="1">
      <alignment horizontal="center"/>
    </xf>
    <xf numFmtId="44" fontId="2" fillId="0" borderId="41" xfId="0" applyNumberFormat="1" applyFont="1" applyBorder="1" applyAlignment="1" applyProtection="1">
      <alignment horizontal="center"/>
    </xf>
    <xf numFmtId="44" fontId="2" fillId="0" borderId="38" xfId="0" applyNumberFormat="1" applyFont="1" applyFill="1" applyBorder="1" applyAlignment="1" applyProtection="1">
      <alignment horizontal="center" vertical="center"/>
    </xf>
    <xf numFmtId="44" fontId="2" fillId="0" borderId="41" xfId="0" applyNumberFormat="1" applyFont="1" applyFill="1" applyBorder="1" applyAlignment="1" applyProtection="1">
      <alignment horizontal="center" vertical="center"/>
    </xf>
    <xf numFmtId="44" fontId="2" fillId="0" borderId="31" xfId="0" applyNumberFormat="1" applyFont="1" applyFill="1" applyBorder="1" applyAlignment="1" applyProtection="1">
      <alignment horizontal="center" vertical="center"/>
    </xf>
    <xf numFmtId="44" fontId="2" fillId="0" borderId="8" xfId="0" applyNumberFormat="1" applyFont="1" applyFill="1" applyBorder="1" applyAlignment="1" applyProtection="1">
      <alignment horizontal="center" vertical="center"/>
    </xf>
    <xf numFmtId="44" fontId="2" fillId="0" borderId="6" xfId="0" applyNumberFormat="1" applyFont="1" applyBorder="1" applyAlignment="1" applyProtection="1">
      <alignment horizontal="center"/>
    </xf>
    <xf numFmtId="0" fontId="0" fillId="0" borderId="19" xfId="0" applyBorder="1" applyAlignment="1" applyProtection="1">
      <alignment horizontal="left" vertical="center"/>
    </xf>
    <xf numFmtId="0" fontId="0" fillId="0" borderId="36"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0" fontId="0" fillId="0" borderId="47" xfId="0" applyFont="1" applyBorder="1" applyAlignment="1" applyProtection="1">
      <alignment horizontal="left" vertical="center" wrapText="1"/>
    </xf>
    <xf numFmtId="0" fontId="0" fillId="0" borderId="26" xfId="0" applyFont="1" applyBorder="1" applyAlignment="1" applyProtection="1">
      <alignment horizontal="left" vertical="center" wrapText="1"/>
    </xf>
    <xf numFmtId="44" fontId="2" fillId="0" borderId="6" xfId="0" applyNumberFormat="1" applyFont="1" applyFill="1" applyBorder="1" applyAlignment="1" applyProtection="1">
      <alignment horizontal="center"/>
    </xf>
    <xf numFmtId="44" fontId="2" fillId="0" borderId="41" xfId="0" applyNumberFormat="1" applyFont="1" applyFill="1" applyBorder="1" applyAlignment="1" applyProtection="1">
      <alignment horizontal="center"/>
    </xf>
    <xf numFmtId="44" fontId="2" fillId="0" borderId="38" xfId="0" applyNumberFormat="1" applyFont="1" applyFill="1" applyBorder="1" applyAlignment="1" applyProtection="1">
      <alignment horizontal="center"/>
    </xf>
    <xf numFmtId="44" fontId="2" fillId="0" borderId="31" xfId="0" applyNumberFormat="1" applyFont="1" applyFill="1" applyBorder="1" applyAlignment="1" applyProtection="1">
      <alignment horizontal="center"/>
    </xf>
    <xf numFmtId="44" fontId="2" fillId="0" borderId="8"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24" fillId="0" borderId="13" xfId="0" applyFont="1" applyFill="1" applyBorder="1" applyAlignment="1" applyProtection="1">
      <alignment horizontal="center" vertical="center" textRotation="90"/>
    </xf>
    <xf numFmtId="0" fontId="24" fillId="0" borderId="14" xfId="0" applyFont="1" applyFill="1" applyBorder="1" applyAlignment="1" applyProtection="1">
      <alignment horizontal="center" vertical="center" textRotation="90"/>
    </xf>
    <xf numFmtId="0" fontId="24" fillId="0" borderId="15" xfId="0" applyFont="1" applyFill="1" applyBorder="1" applyAlignment="1" applyProtection="1">
      <alignment horizontal="center" vertical="center" textRotation="90"/>
    </xf>
    <xf numFmtId="0" fontId="2" fillId="4" borderId="0" xfId="0" applyFont="1" applyFill="1" applyBorder="1" applyAlignment="1" applyProtection="1">
      <alignment horizontal="center" vertical="center"/>
    </xf>
    <xf numFmtId="0" fontId="27" fillId="0" borderId="35" xfId="0" applyFont="1" applyBorder="1" applyAlignment="1" applyProtection="1">
      <alignment horizontal="center"/>
    </xf>
    <xf numFmtId="0" fontId="27" fillId="0" borderId="40" xfId="0" applyFont="1" applyBorder="1" applyAlignment="1" applyProtection="1">
      <alignment horizontal="center"/>
    </xf>
    <xf numFmtId="0" fontId="27" fillId="0" borderId="52" xfId="0" applyFont="1" applyBorder="1" applyAlignment="1" applyProtection="1">
      <alignment horizontal="center"/>
    </xf>
    <xf numFmtId="0" fontId="4" fillId="3" borderId="39" xfId="0" applyFont="1" applyFill="1" applyBorder="1" applyAlignment="1" applyProtection="1">
      <alignment horizontal="center"/>
      <protection locked="0"/>
    </xf>
    <xf numFmtId="0" fontId="4" fillId="3" borderId="60" xfId="0" applyFont="1" applyFill="1" applyBorder="1" applyAlignment="1" applyProtection="1">
      <alignment horizontal="center"/>
      <protection locked="0"/>
    </xf>
    <xf numFmtId="0" fontId="26" fillId="0" borderId="13" xfId="0" applyFont="1" applyFill="1" applyBorder="1" applyAlignment="1" applyProtection="1">
      <alignment horizontal="center" vertical="center" textRotation="90"/>
    </xf>
    <xf numFmtId="0" fontId="26" fillId="0" borderId="14" xfId="0" applyFont="1" applyFill="1" applyBorder="1" applyAlignment="1" applyProtection="1">
      <alignment horizontal="center" vertical="center" textRotation="90"/>
    </xf>
    <xf numFmtId="0" fontId="26" fillId="0" borderId="15" xfId="0" applyFont="1" applyFill="1" applyBorder="1" applyAlignment="1" applyProtection="1">
      <alignment horizontal="center" vertical="center" textRotation="90"/>
    </xf>
    <xf numFmtId="0" fontId="0" fillId="0" borderId="24" xfId="0" applyFont="1" applyBorder="1" applyAlignment="1" applyProtection="1">
      <alignment horizontal="left" vertical="center" wrapText="1"/>
    </xf>
    <xf numFmtId="44" fontId="2" fillId="0" borderId="25" xfId="0" applyNumberFormat="1" applyFont="1" applyFill="1" applyBorder="1" applyAlignment="1" applyProtection="1">
      <alignment horizontal="center" vertical="center"/>
    </xf>
    <xf numFmtId="44" fontId="2" fillId="0" borderId="40" xfId="0" applyNumberFormat="1" applyFont="1" applyFill="1" applyBorder="1" applyAlignment="1" applyProtection="1">
      <alignment horizontal="center" vertical="center"/>
    </xf>
    <xf numFmtId="44" fontId="2" fillId="0" borderId="37" xfId="0" applyNumberFormat="1" applyFont="1" applyFill="1" applyBorder="1" applyAlignment="1" applyProtection="1">
      <alignment horizontal="center" vertical="center"/>
    </xf>
    <xf numFmtId="44" fontId="2" fillId="0" borderId="27" xfId="0" applyNumberFormat="1" applyFont="1" applyFill="1" applyBorder="1" applyAlignment="1" applyProtection="1">
      <alignment horizontal="center" vertical="center"/>
    </xf>
    <xf numFmtId="0" fontId="23" fillId="0" borderId="13" xfId="0" applyFont="1" applyFill="1" applyBorder="1" applyAlignment="1" applyProtection="1">
      <alignment horizontal="center" vertical="center" textRotation="90"/>
    </xf>
    <xf numFmtId="0" fontId="23" fillId="0" borderId="14" xfId="0" applyFont="1" applyFill="1" applyBorder="1" applyAlignment="1" applyProtection="1">
      <alignment horizontal="center" vertical="center" textRotation="90"/>
    </xf>
    <xf numFmtId="0" fontId="23" fillId="0" borderId="15" xfId="0" applyFont="1" applyFill="1" applyBorder="1" applyAlignment="1" applyProtection="1">
      <alignment horizontal="center" vertical="center" textRotation="90"/>
    </xf>
    <xf numFmtId="0" fontId="30" fillId="0" borderId="13" xfId="0" applyFont="1" applyFill="1" applyBorder="1" applyAlignment="1" applyProtection="1">
      <alignment horizontal="center" vertical="center" textRotation="90"/>
    </xf>
    <xf numFmtId="0" fontId="30" fillId="0" borderId="14" xfId="0" applyFont="1" applyFill="1" applyBorder="1" applyAlignment="1" applyProtection="1">
      <alignment horizontal="center" vertical="center" textRotation="90"/>
    </xf>
    <xf numFmtId="0" fontId="30" fillId="0" borderId="15" xfId="0" applyFont="1" applyFill="1" applyBorder="1" applyAlignment="1" applyProtection="1">
      <alignment horizontal="center" vertical="center" textRotation="90"/>
    </xf>
    <xf numFmtId="0" fontId="9" fillId="0" borderId="13" xfId="0" applyFont="1" applyFill="1" applyBorder="1" applyAlignment="1" applyProtection="1">
      <alignment horizontal="center" vertical="center" textRotation="90"/>
    </xf>
    <xf numFmtId="0" fontId="9" fillId="0" borderId="14" xfId="0" applyFont="1" applyFill="1" applyBorder="1" applyAlignment="1" applyProtection="1">
      <alignment horizontal="center" vertical="center" textRotation="90"/>
    </xf>
    <xf numFmtId="0" fontId="9" fillId="0" borderId="15" xfId="0" applyFont="1" applyFill="1" applyBorder="1" applyAlignment="1" applyProtection="1">
      <alignment horizontal="center" vertical="center" textRotation="90"/>
    </xf>
    <xf numFmtId="0" fontId="0" fillId="0" borderId="35" xfId="0" applyBorder="1" applyAlignment="1" applyProtection="1">
      <alignment horizontal="center"/>
    </xf>
    <xf numFmtId="0" fontId="0" fillId="0" borderId="19" xfId="0" applyBorder="1" applyAlignment="1" applyProtection="1">
      <alignment horizontal="center"/>
    </xf>
    <xf numFmtId="0" fontId="24" fillId="0" borderId="4" xfId="0" applyFont="1" applyFill="1" applyBorder="1" applyAlignment="1" applyProtection="1">
      <alignment horizontal="center" vertical="center" textRotation="90"/>
    </xf>
    <xf numFmtId="0" fontId="24" fillId="0" borderId="5" xfId="0" applyFont="1" applyFill="1" applyBorder="1" applyAlignment="1" applyProtection="1">
      <alignment horizontal="center" vertical="center" textRotation="90"/>
    </xf>
    <xf numFmtId="0" fontId="26" fillId="0" borderId="13" xfId="0" applyFont="1" applyFill="1" applyBorder="1" applyAlignment="1" applyProtection="1">
      <alignment horizontal="left" vertical="center" textRotation="90"/>
    </xf>
    <xf numFmtId="0" fontId="26" fillId="0" borderId="14" xfId="0" applyFont="1" applyFill="1" applyBorder="1" applyAlignment="1" applyProtection="1">
      <alignment horizontal="left" vertical="center" textRotation="90"/>
    </xf>
    <xf numFmtId="0" fontId="26" fillId="0" borderId="15" xfId="0" applyFont="1" applyFill="1" applyBorder="1" applyAlignment="1" applyProtection="1">
      <alignment horizontal="left" vertical="center" textRotation="90"/>
    </xf>
    <xf numFmtId="0" fontId="23" fillId="0" borderId="3" xfId="0" applyFont="1" applyFill="1" applyBorder="1" applyAlignment="1" applyProtection="1">
      <alignment horizontal="center" vertical="center" textRotation="90"/>
    </xf>
    <xf numFmtId="0" fontId="23" fillId="0" borderId="4" xfId="0" applyFont="1" applyFill="1" applyBorder="1" applyAlignment="1" applyProtection="1">
      <alignment horizontal="center" vertical="center" textRotation="90"/>
    </xf>
    <xf numFmtId="0" fontId="23" fillId="0" borderId="5" xfId="0" applyFont="1" applyFill="1" applyBorder="1" applyAlignment="1" applyProtection="1">
      <alignment horizontal="center" vertical="center" textRotation="90"/>
    </xf>
    <xf numFmtId="0" fontId="0" fillId="0" borderId="16" xfId="0" applyFont="1" applyBorder="1" applyAlignment="1" applyProtection="1">
      <alignment horizontal="center"/>
    </xf>
    <xf numFmtId="0" fontId="0" fillId="0" borderId="19" xfId="0" applyFont="1" applyBorder="1" applyAlignment="1" applyProtection="1">
      <alignment horizontal="center"/>
    </xf>
    <xf numFmtId="0" fontId="24" fillId="0" borderId="3" xfId="0" applyFont="1" applyFill="1" applyBorder="1" applyAlignment="1" applyProtection="1">
      <alignment horizontal="center" vertical="center" textRotation="90"/>
    </xf>
    <xf numFmtId="0" fontId="0" fillId="0" borderId="36" xfId="0" applyFont="1" applyBorder="1" applyAlignment="1" applyProtection="1">
      <alignment horizontal="left" vertical="center"/>
    </xf>
    <xf numFmtId="0" fontId="0" fillId="0" borderId="35" xfId="0" applyFont="1" applyBorder="1" applyAlignment="1" applyProtection="1">
      <alignment horizontal="left" vertical="center"/>
    </xf>
    <xf numFmtId="0" fontId="32" fillId="0" borderId="28" xfId="0" applyFont="1" applyBorder="1" applyAlignment="1" applyProtection="1">
      <alignment horizontal="center" vertical="center" wrapText="1"/>
    </xf>
    <xf numFmtId="0" fontId="32" fillId="0" borderId="29" xfId="0" applyFont="1" applyBorder="1" applyAlignment="1" applyProtection="1">
      <alignment horizontal="center" vertical="center" wrapText="1"/>
    </xf>
    <xf numFmtId="0" fontId="32" fillId="0" borderId="30" xfId="0" applyFont="1" applyBorder="1" applyAlignment="1" applyProtection="1">
      <alignment horizontal="center" vertical="center" wrapText="1"/>
    </xf>
    <xf numFmtId="0" fontId="27" fillId="0" borderId="57" xfId="0" applyFont="1" applyFill="1" applyBorder="1" applyAlignment="1" applyProtection="1">
      <alignment horizontal="center"/>
    </xf>
    <xf numFmtId="0" fontId="27" fillId="0" borderId="58" xfId="0" applyFont="1" applyFill="1" applyBorder="1" applyAlignment="1" applyProtection="1">
      <alignment horizontal="center"/>
    </xf>
    <xf numFmtId="0" fontId="27" fillId="0" borderId="56" xfId="0" applyFont="1" applyFill="1" applyBorder="1" applyAlignment="1" applyProtection="1">
      <alignment horizontal="center"/>
    </xf>
    <xf numFmtId="0" fontId="7" fillId="5" borderId="13" xfId="2" applyFill="1" applyBorder="1" applyAlignment="1" applyProtection="1">
      <alignment horizontal="center" wrapText="1"/>
    </xf>
    <xf numFmtId="0" fontId="7" fillId="5" borderId="14" xfId="2" applyFill="1" applyBorder="1" applyAlignment="1" applyProtection="1">
      <alignment horizontal="center" wrapText="1"/>
    </xf>
    <xf numFmtId="0" fontId="7" fillId="5" borderId="15" xfId="2" applyFill="1" applyBorder="1" applyAlignment="1" applyProtection="1">
      <alignment horizont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1" fontId="14" fillId="0" borderId="7" xfId="0" applyNumberFormat="1" applyFont="1" applyFill="1" applyBorder="1" applyAlignment="1" applyProtection="1">
      <alignment horizontal="center" vertical="center"/>
    </xf>
    <xf numFmtId="0" fontId="0" fillId="2" borderId="4" xfId="0" applyFill="1" applyBorder="1" applyAlignment="1" applyProtection="1">
      <alignment horizontal="center"/>
    </xf>
    <xf numFmtId="0" fontId="0" fillId="2" borderId="0" xfId="0" applyFill="1" applyBorder="1" applyAlignment="1" applyProtection="1">
      <alignment horizontal="center"/>
    </xf>
    <xf numFmtId="0" fontId="0" fillId="2" borderId="11"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alignment horizontal="center"/>
    </xf>
    <xf numFmtId="0" fontId="0" fillId="2" borderId="12" xfId="0" applyFill="1" applyBorder="1" applyAlignment="1" applyProtection="1">
      <alignment horizontal="center"/>
    </xf>
    <xf numFmtId="0" fontId="27" fillId="4" borderId="17" xfId="0" applyFont="1" applyFill="1" applyBorder="1" applyAlignment="1" applyProtection="1">
      <alignment horizontal="center" vertical="center"/>
    </xf>
    <xf numFmtId="0" fontId="27" fillId="4" borderId="40"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1" fontId="14" fillId="0" borderId="20" xfId="0" quotePrefix="1" applyNumberFormat="1" applyFont="1" applyFill="1" applyBorder="1" applyAlignment="1" applyProtection="1">
      <alignment horizontal="center" vertical="center"/>
    </xf>
    <xf numFmtId="1" fontId="14" fillId="0" borderId="20" xfId="0" applyNumberFormat="1" applyFont="1" applyFill="1" applyBorder="1" applyAlignment="1" applyProtection="1">
      <alignment horizontal="center" vertical="center"/>
    </xf>
    <xf numFmtId="1" fontId="3" fillId="2" borderId="20" xfId="0" applyNumberFormat="1" applyFont="1" applyFill="1" applyBorder="1" applyAlignment="1" applyProtection="1">
      <alignment horizontal="center" vertical="center"/>
      <protection hidden="1"/>
    </xf>
    <xf numFmtId="44" fontId="2" fillId="0" borderId="48" xfId="0" applyNumberFormat="1" applyFont="1" applyFill="1" applyBorder="1" applyAlignment="1" applyProtection="1">
      <alignment horizontal="center" vertical="center"/>
    </xf>
    <xf numFmtId="0" fontId="19" fillId="3" borderId="13" xfId="0" applyFont="1" applyFill="1" applyBorder="1" applyAlignment="1" applyProtection="1">
      <alignment horizontal="center" vertical="center" wrapText="1"/>
    </xf>
    <xf numFmtId="0" fontId="19" fillId="3" borderId="15"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xf>
    <xf numFmtId="0" fontId="2" fillId="4" borderId="34" xfId="0" applyFont="1" applyFill="1" applyBorder="1" applyAlignment="1" applyProtection="1">
      <alignment horizontal="center" vertical="center"/>
    </xf>
    <xf numFmtId="0" fontId="27" fillId="0" borderId="59" xfId="0" applyFont="1" applyFill="1" applyBorder="1" applyAlignment="1" applyProtection="1">
      <alignment horizontal="center"/>
    </xf>
    <xf numFmtId="0" fontId="27" fillId="0" borderId="32" xfId="0" applyFont="1" applyFill="1" applyBorder="1" applyAlignment="1" applyProtection="1">
      <alignment horizontal="center"/>
    </xf>
    <xf numFmtId="0" fontId="2" fillId="0" borderId="3"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1" fillId="8" borderId="1" xfId="0" applyFont="1" applyFill="1" applyBorder="1" applyAlignment="1" applyProtection="1">
      <alignment horizontal="center"/>
    </xf>
    <xf numFmtId="0" fontId="12" fillId="7" borderId="28" xfId="2" applyFont="1" applyFill="1" applyBorder="1" applyAlignment="1" applyProtection="1">
      <alignment horizontal="center"/>
    </xf>
    <xf numFmtId="0" fontId="12" fillId="7" borderId="30" xfId="2" applyFont="1" applyFill="1" applyBorder="1" applyAlignment="1" applyProtection="1">
      <alignment horizontal="center"/>
    </xf>
    <xf numFmtId="0" fontId="11" fillId="0" borderId="29" xfId="0" applyFont="1" applyBorder="1" applyAlignment="1" applyProtection="1">
      <alignment horizontal="center"/>
    </xf>
    <xf numFmtId="0" fontId="10" fillId="12" borderId="1" xfId="2" applyFont="1" applyFill="1" applyBorder="1" applyAlignment="1" applyProtection="1">
      <alignment horizontal="left"/>
    </xf>
    <xf numFmtId="0" fontId="33" fillId="0" borderId="0" xfId="0" applyFont="1" applyBorder="1" applyAlignment="1" applyProtection="1">
      <alignment horizontal="center" vertical="center" wrapText="1"/>
    </xf>
    <xf numFmtId="0" fontId="0" fillId="0" borderId="0" xfId="0" applyBorder="1" applyAlignment="1" applyProtection="1">
      <alignment horizontal="left"/>
    </xf>
    <xf numFmtId="0" fontId="0" fillId="0" borderId="0" xfId="0" applyAlignment="1" applyProtection="1">
      <alignment horizontal="left" vertical="center"/>
    </xf>
    <xf numFmtId="0" fontId="22" fillId="0" borderId="3"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2" fillId="0" borderId="33" xfId="0" applyFont="1" applyBorder="1" applyAlignment="1" applyProtection="1">
      <alignment horizontal="left"/>
    </xf>
    <xf numFmtId="0" fontId="2" fillId="0" borderId="0" xfId="0" applyFont="1" applyBorder="1" applyAlignment="1" applyProtection="1">
      <alignment horizontal="left" vertical="center" wrapText="1"/>
    </xf>
    <xf numFmtId="0" fontId="2" fillId="0" borderId="33" xfId="0" applyFont="1" applyBorder="1" applyAlignment="1" applyProtection="1">
      <alignment horizontal="left" vertical="center"/>
    </xf>
    <xf numFmtId="0" fontId="2" fillId="0" borderId="0" xfId="0" applyFont="1" applyBorder="1" applyAlignment="1" applyProtection="1">
      <alignment horizontal="left" vertical="center"/>
    </xf>
    <xf numFmtId="0" fontId="0" fillId="0" borderId="33" xfId="0" applyBorder="1" applyAlignment="1">
      <alignment horizontal="left" wrapText="1"/>
    </xf>
    <xf numFmtId="0" fontId="0" fillId="0" borderId="0" xfId="0" applyBorder="1" applyAlignment="1">
      <alignment horizontal="left" wrapText="1"/>
    </xf>
  </cellXfs>
  <cellStyles count="3">
    <cellStyle name="Currency" xfId="1" builtinId="4"/>
    <cellStyle name="Hyperlink" xfId="2" builtinId="8"/>
    <cellStyle name="Normal" xfId="0" builtinId="0"/>
  </cellStyles>
  <dxfs count="16">
    <dxf>
      <fill>
        <patternFill patternType="none">
          <bgColor auto="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813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41784</xdr:colOff>
      <xdr:row>149</xdr:row>
      <xdr:rowOff>102143</xdr:rowOff>
    </xdr:from>
    <xdr:to>
      <xdr:col>9</xdr:col>
      <xdr:colOff>2722127</xdr:colOff>
      <xdr:row>152</xdr:row>
      <xdr:rowOff>167394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6909" y="29974924"/>
          <a:ext cx="2680343" cy="636751"/>
        </a:xfrm>
        <a:prstGeom prst="rect">
          <a:avLst/>
        </a:prstGeom>
      </xdr:spPr>
    </xdr:pic>
    <xdr:clientData/>
  </xdr:twoCellAnchor>
  <xdr:twoCellAnchor editAs="oneCell">
    <xdr:from>
      <xdr:col>9</xdr:col>
      <xdr:colOff>507411</xdr:colOff>
      <xdr:row>139</xdr:row>
      <xdr:rowOff>110708</xdr:rowOff>
    </xdr:from>
    <xdr:to>
      <xdr:col>9</xdr:col>
      <xdr:colOff>2130123</xdr:colOff>
      <xdr:row>148</xdr:row>
      <xdr:rowOff>162235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6567" y="26974848"/>
          <a:ext cx="1622712" cy="1768135"/>
        </a:xfrm>
        <a:prstGeom prst="rect">
          <a:avLst/>
        </a:prstGeom>
      </xdr:spPr>
    </xdr:pic>
    <xdr:clientData/>
  </xdr:twoCellAnchor>
  <xdr:twoCellAnchor editAs="oneCell">
    <xdr:from>
      <xdr:col>9</xdr:col>
      <xdr:colOff>594554</xdr:colOff>
      <xdr:row>59</xdr:row>
      <xdr:rowOff>136023</xdr:rowOff>
    </xdr:from>
    <xdr:to>
      <xdr:col>9</xdr:col>
      <xdr:colOff>2198394</xdr:colOff>
      <xdr:row>68</xdr:row>
      <xdr:rowOff>172153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63710" y="12039240"/>
          <a:ext cx="1603840" cy="1740922"/>
        </a:xfrm>
        <a:prstGeom prst="rect">
          <a:avLst/>
        </a:prstGeom>
      </xdr:spPr>
    </xdr:pic>
    <xdr:clientData/>
  </xdr:twoCellAnchor>
  <xdr:twoCellAnchor editAs="oneCell">
    <xdr:from>
      <xdr:col>9</xdr:col>
      <xdr:colOff>52386</xdr:colOff>
      <xdr:row>69</xdr:row>
      <xdr:rowOff>127405</xdr:rowOff>
    </xdr:from>
    <xdr:to>
      <xdr:col>9</xdr:col>
      <xdr:colOff>2715923</xdr:colOff>
      <xdr:row>73</xdr:row>
      <xdr:rowOff>859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577511" y="14272030"/>
          <a:ext cx="2663537" cy="630163"/>
        </a:xfrm>
        <a:prstGeom prst="rect">
          <a:avLst/>
        </a:prstGeom>
      </xdr:spPr>
    </xdr:pic>
    <xdr:clientData/>
  </xdr:twoCellAnchor>
  <xdr:twoCellAnchor editAs="oneCell">
    <xdr:from>
      <xdr:col>9</xdr:col>
      <xdr:colOff>295276</xdr:colOff>
      <xdr:row>2</xdr:row>
      <xdr:rowOff>0</xdr:rowOff>
    </xdr:from>
    <xdr:to>
      <xdr:col>9</xdr:col>
      <xdr:colOff>2333626</xdr:colOff>
      <xdr:row>11</xdr:row>
      <xdr:rowOff>101045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20101" y="495300"/>
          <a:ext cx="2038350" cy="2234046"/>
        </a:xfrm>
        <a:prstGeom prst="rect">
          <a:avLst/>
        </a:prstGeom>
      </xdr:spPr>
    </xdr:pic>
    <xdr:clientData/>
  </xdr:twoCellAnchor>
  <xdr:twoCellAnchor editAs="oneCell">
    <xdr:from>
      <xdr:col>9</xdr:col>
      <xdr:colOff>34458</xdr:colOff>
      <xdr:row>11</xdr:row>
      <xdr:rowOff>188530</xdr:rowOff>
    </xdr:from>
    <xdr:to>
      <xdr:col>9</xdr:col>
      <xdr:colOff>2724630</xdr:colOff>
      <xdr:row>15</xdr:row>
      <xdr:rowOff>61834</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59583" y="2831718"/>
          <a:ext cx="2690172" cy="635304"/>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438150</xdr:colOff>
          <xdr:row>68</xdr:row>
          <xdr:rowOff>161925</xdr:rowOff>
        </xdr:from>
        <xdr:to>
          <xdr:col>8</xdr:col>
          <xdr:colOff>542925</xdr:colOff>
          <xdr:row>72</xdr:row>
          <xdr:rowOff>19050</xdr:rowOff>
        </xdr:to>
        <xdr:sp macro="" textlink="">
          <xdr:nvSpPr>
            <xdr:cNvPr id="1062" name="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Print Phosphorus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400050</xdr:colOff>
          <xdr:row>148</xdr:row>
          <xdr:rowOff>76200</xdr:rowOff>
        </xdr:from>
        <xdr:to>
          <xdr:col>8</xdr:col>
          <xdr:colOff>581025</xdr:colOff>
          <xdr:row>151</xdr:row>
          <xdr:rowOff>152400</xdr:rowOff>
        </xdr:to>
        <xdr:sp macro="" textlink="">
          <xdr:nvSpPr>
            <xdr:cNvPr id="1063" name="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Print Nitrogen Report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10210800</xdr:colOff>
          <xdr:row>1</xdr:row>
          <xdr:rowOff>19050</xdr:rowOff>
        </xdr:from>
        <xdr:to>
          <xdr:col>1</xdr:col>
          <xdr:colOff>12163425</xdr:colOff>
          <xdr:row>2</xdr:row>
          <xdr:rowOff>9525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GO BACK TO THE CALCULATOR.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10172700</xdr:colOff>
          <xdr:row>65</xdr:row>
          <xdr:rowOff>152400</xdr:rowOff>
        </xdr:from>
        <xdr:to>
          <xdr:col>2</xdr:col>
          <xdr:colOff>0</xdr:colOff>
          <xdr:row>66</xdr:row>
          <xdr:rowOff>180975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GO BACK TO THE CALCULATOR.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paulo.flores@ndsu.edu?subject=Manure%20Value%20Calculator%20for%20Corn%20in%20ND" TargetMode="External"/><Relationship Id="rId7" Type="http://schemas.openxmlformats.org/officeDocument/2006/relationships/drawing" Target="../drawings/drawing1.xml"/><Relationship Id="rId2" Type="http://schemas.openxmlformats.org/officeDocument/2006/relationships/hyperlink" Target="http://www.ndsu.edu/pubweb/soils/corn/" TargetMode="External"/><Relationship Id="rId1" Type="http://schemas.openxmlformats.org/officeDocument/2006/relationships/hyperlink" Target="http://www.ndsu.edu/pubweb/soils/corn/" TargetMode="External"/><Relationship Id="rId6" Type="http://schemas.openxmlformats.org/officeDocument/2006/relationships/printerSettings" Target="../printerSettings/printerSettings1.bin"/><Relationship Id="rId11" Type="http://schemas.openxmlformats.org/officeDocument/2006/relationships/comments" Target="../comments1.xml"/><Relationship Id="rId5" Type="http://schemas.openxmlformats.org/officeDocument/2006/relationships/hyperlink" Target="mailto:paulo.flores@ndsu.edu" TargetMode="External"/><Relationship Id="rId10" Type="http://schemas.openxmlformats.org/officeDocument/2006/relationships/ctrlProp" Target="../ctrlProps/ctrlProp2.xml"/><Relationship Id="rId4" Type="http://schemas.openxmlformats.org/officeDocument/2006/relationships/hyperlink" Target="mailto:paulo.flores@ndsu.edu"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64"/>
  <sheetViews>
    <sheetView tabSelected="1" zoomScale="89" zoomScaleNormal="89" zoomScaleSheetLayoutView="110" workbookViewId="0">
      <selection activeCell="F25" sqref="F25"/>
    </sheetView>
  </sheetViews>
  <sheetFormatPr defaultColWidth="9.140625" defaultRowHeight="15" x14ac:dyDescent="0.25"/>
  <cols>
    <col min="1" max="1" width="3.5703125" style="1" customWidth="1"/>
    <col min="2" max="2" width="4.42578125" style="1" customWidth="1"/>
    <col min="3" max="3" width="55.28515625" style="1" customWidth="1"/>
    <col min="4" max="4" width="16.85546875" style="1" customWidth="1"/>
    <col min="5" max="5" width="15.85546875" style="1" customWidth="1"/>
    <col min="6" max="6" width="17.5703125" style="1" customWidth="1"/>
    <col min="7" max="7" width="12.140625" style="1" customWidth="1"/>
    <col min="8" max="8" width="14.7109375" style="1" customWidth="1"/>
    <col min="9" max="9" width="15.28515625" style="1" customWidth="1"/>
    <col min="10" max="10" width="41.85546875" style="1" customWidth="1"/>
    <col min="11" max="11" width="3.140625" style="1" customWidth="1"/>
    <col min="12" max="16384" width="9.140625" style="1"/>
  </cols>
  <sheetData>
    <row r="1" spans="1:11" ht="15.75" thickBot="1" x14ac:dyDescent="0.3">
      <c r="A1" s="24"/>
      <c r="B1" s="24"/>
      <c r="C1" s="333" t="s">
        <v>86</v>
      </c>
      <c r="D1" s="333"/>
      <c r="E1" s="333"/>
      <c r="F1" s="24"/>
      <c r="G1" s="24"/>
      <c r="H1" s="24"/>
      <c r="I1" s="24"/>
      <c r="J1" s="24"/>
      <c r="K1" s="24"/>
    </row>
    <row r="2" spans="1:11" ht="23.25" customHeight="1" x14ac:dyDescent="0.25">
      <c r="A2" s="24"/>
      <c r="B2" s="341" t="s">
        <v>88</v>
      </c>
      <c r="C2" s="342"/>
      <c r="D2" s="342"/>
      <c r="E2" s="342"/>
      <c r="F2" s="342"/>
      <c r="G2" s="342"/>
      <c r="H2" s="342"/>
      <c r="I2" s="343"/>
      <c r="J2" s="82"/>
      <c r="K2" s="24"/>
    </row>
    <row r="3" spans="1:11" ht="15" customHeight="1" x14ac:dyDescent="0.25">
      <c r="A3" s="24"/>
      <c r="B3" s="344"/>
      <c r="C3" s="345"/>
      <c r="D3" s="345"/>
      <c r="E3" s="345"/>
      <c r="F3" s="345"/>
      <c r="G3" s="345"/>
      <c r="H3" s="345"/>
      <c r="I3" s="346"/>
      <c r="J3" s="83"/>
      <c r="K3" s="24"/>
    </row>
    <row r="4" spans="1:11" ht="15" customHeight="1" x14ac:dyDescent="0.25">
      <c r="A4" s="24"/>
      <c r="B4" s="347" t="s">
        <v>94</v>
      </c>
      <c r="C4" s="348"/>
      <c r="D4" s="348"/>
      <c r="E4" s="348"/>
      <c r="F4" s="348"/>
      <c r="G4" s="348"/>
      <c r="H4" s="348"/>
      <c r="I4" s="349"/>
      <c r="J4" s="83"/>
      <c r="K4" s="24"/>
    </row>
    <row r="5" spans="1:11" ht="18.75" customHeight="1" x14ac:dyDescent="0.25">
      <c r="A5" s="24"/>
      <c r="B5" s="28"/>
      <c r="C5" s="338" t="s">
        <v>38</v>
      </c>
      <c r="D5" s="338"/>
      <c r="E5" s="338"/>
      <c r="F5" s="29"/>
      <c r="G5" s="29"/>
      <c r="H5" s="29"/>
      <c r="I5" s="29"/>
      <c r="J5" s="83"/>
      <c r="K5" s="24"/>
    </row>
    <row r="6" spans="1:11" ht="15.75" customHeight="1" thickBot="1" x14ac:dyDescent="0.3">
      <c r="A6" s="24"/>
      <c r="B6" s="28"/>
      <c r="C6" s="338"/>
      <c r="D6" s="338"/>
      <c r="E6" s="338"/>
      <c r="F6" s="29"/>
      <c r="G6" s="29"/>
      <c r="H6" s="29"/>
      <c r="I6" s="29"/>
      <c r="J6" s="83"/>
      <c r="K6" s="24"/>
    </row>
    <row r="7" spans="1:11" ht="27" thickBot="1" x14ac:dyDescent="0.45">
      <c r="A7" s="24"/>
      <c r="B7" s="28"/>
      <c r="C7" s="334" t="s">
        <v>133</v>
      </c>
      <c r="D7" s="335"/>
      <c r="E7" s="29"/>
      <c r="F7" s="29"/>
      <c r="G7" s="29"/>
      <c r="H7" s="29"/>
      <c r="I7" s="29"/>
      <c r="J7" s="83"/>
      <c r="K7" s="24"/>
    </row>
    <row r="8" spans="1:11" ht="19.5" thickBot="1" x14ac:dyDescent="0.35">
      <c r="A8" s="24"/>
      <c r="B8" s="28"/>
      <c r="C8" s="336" t="s">
        <v>36</v>
      </c>
      <c r="D8" s="336"/>
      <c r="E8" s="29"/>
      <c r="F8" s="29"/>
      <c r="G8" s="29"/>
      <c r="H8" s="29"/>
      <c r="I8" s="29"/>
      <c r="J8" s="83"/>
      <c r="K8" s="24"/>
    </row>
    <row r="9" spans="1:11" ht="27" thickBot="1" x14ac:dyDescent="0.45">
      <c r="A9" s="24"/>
      <c r="B9" s="28"/>
      <c r="C9" s="334" t="s">
        <v>134</v>
      </c>
      <c r="D9" s="335"/>
      <c r="E9" s="29"/>
      <c r="F9" s="29"/>
      <c r="G9" s="29"/>
      <c r="H9" s="29"/>
      <c r="I9" s="29"/>
      <c r="J9" s="83"/>
      <c r="K9" s="24"/>
    </row>
    <row r="10" spans="1:11" x14ac:dyDescent="0.25">
      <c r="A10" s="24"/>
      <c r="B10" s="28"/>
      <c r="C10" s="29"/>
      <c r="D10" s="29"/>
      <c r="E10" s="29"/>
      <c r="F10" s="29"/>
      <c r="G10" s="29"/>
      <c r="H10" s="29"/>
      <c r="I10" s="29"/>
      <c r="J10" s="83"/>
      <c r="K10" s="24"/>
    </row>
    <row r="11" spans="1:11" x14ac:dyDescent="0.25">
      <c r="A11" s="24"/>
      <c r="B11" s="28"/>
      <c r="C11" s="29"/>
      <c r="D11" s="29"/>
      <c r="E11" s="29"/>
      <c r="F11" s="29"/>
      <c r="G11" s="29"/>
      <c r="H11" s="29"/>
      <c r="I11" s="29"/>
      <c r="J11" s="83"/>
      <c r="K11" s="24"/>
    </row>
    <row r="12" spans="1:11" x14ac:dyDescent="0.25">
      <c r="A12" s="24"/>
      <c r="B12" s="28"/>
      <c r="C12" s="29"/>
      <c r="D12" s="29"/>
      <c r="E12" s="29"/>
      <c r="F12" s="80"/>
      <c r="G12" s="29"/>
      <c r="H12" s="29"/>
      <c r="I12" s="29"/>
      <c r="J12" s="83"/>
      <c r="K12" s="24"/>
    </row>
    <row r="13" spans="1:11" x14ac:dyDescent="0.25">
      <c r="A13" s="24"/>
      <c r="B13" s="28"/>
      <c r="C13" s="29"/>
      <c r="D13" s="29"/>
      <c r="E13" s="155" t="s">
        <v>79</v>
      </c>
      <c r="F13" s="155"/>
      <c r="G13" s="155"/>
      <c r="H13" s="79"/>
      <c r="I13" s="79"/>
      <c r="J13" s="83"/>
      <c r="K13" s="24"/>
    </row>
    <row r="14" spans="1:11" x14ac:dyDescent="0.25">
      <c r="A14" s="24"/>
      <c r="B14" s="28"/>
      <c r="C14" s="29"/>
      <c r="D14" s="29"/>
      <c r="E14" s="339" t="s">
        <v>143</v>
      </c>
      <c r="F14" s="339"/>
      <c r="G14" s="339"/>
      <c r="H14" s="339"/>
      <c r="I14" s="155"/>
      <c r="J14" s="83"/>
      <c r="K14" s="24"/>
    </row>
    <row r="15" spans="1:11" x14ac:dyDescent="0.25">
      <c r="A15" s="24"/>
      <c r="B15" s="28"/>
      <c r="C15" s="29"/>
      <c r="D15" s="29"/>
      <c r="E15" s="340" t="s">
        <v>89</v>
      </c>
      <c r="F15" s="340"/>
      <c r="G15" s="340"/>
      <c r="H15" s="2"/>
      <c r="I15" s="2"/>
      <c r="J15" s="83"/>
      <c r="K15" s="24"/>
    </row>
    <row r="16" spans="1:11" ht="15" customHeight="1" x14ac:dyDescent="0.25">
      <c r="A16" s="24"/>
      <c r="B16" s="28"/>
      <c r="C16" s="147" t="s">
        <v>50</v>
      </c>
      <c r="D16" s="29"/>
      <c r="E16" s="73"/>
      <c r="F16" s="73"/>
      <c r="G16" s="73"/>
      <c r="H16" s="73"/>
      <c r="I16" s="73"/>
      <c r="J16" s="83"/>
      <c r="K16" s="24"/>
    </row>
    <row r="17" spans="1:11" ht="15.75" thickBot="1" x14ac:dyDescent="0.3">
      <c r="A17" s="24"/>
      <c r="B17" s="30"/>
      <c r="C17" s="337" t="s">
        <v>80</v>
      </c>
      <c r="D17" s="337"/>
      <c r="E17" s="337"/>
      <c r="F17" s="74"/>
      <c r="G17" s="74"/>
      <c r="H17" s="81"/>
      <c r="I17" s="81"/>
      <c r="J17" s="117"/>
      <c r="K17" s="24"/>
    </row>
    <row r="18" spans="1:11" x14ac:dyDescent="0.25">
      <c r="A18" s="24"/>
      <c r="B18" s="24"/>
      <c r="C18" s="24"/>
      <c r="D18" s="24"/>
      <c r="E18" s="24"/>
      <c r="F18" s="24"/>
      <c r="G18" s="24"/>
      <c r="H18" s="24"/>
      <c r="I18" s="24"/>
      <c r="J18" s="24"/>
      <c r="K18" s="24"/>
    </row>
    <row r="19" spans="1:11" s="22" customFormat="1" x14ac:dyDescent="0.25">
      <c r="A19" s="31"/>
      <c r="B19" s="31"/>
      <c r="C19" s="31"/>
      <c r="D19" s="31"/>
      <c r="E19" s="31"/>
      <c r="F19" s="31"/>
      <c r="G19" s="31"/>
      <c r="H19" s="31"/>
      <c r="I19" s="31"/>
      <c r="J19" s="31"/>
      <c r="K19" s="31"/>
    </row>
    <row r="20" spans="1:11" s="22" customFormat="1" x14ac:dyDescent="0.25">
      <c r="A20" s="31"/>
      <c r="B20" s="31"/>
      <c r="C20" s="75"/>
      <c r="D20" s="31"/>
      <c r="E20" s="31"/>
      <c r="F20" s="31"/>
      <c r="G20" s="31"/>
      <c r="H20" s="31"/>
      <c r="I20" s="31"/>
      <c r="J20" s="31"/>
      <c r="K20" s="31"/>
    </row>
    <row r="21" spans="1:11" s="22" customFormat="1" x14ac:dyDescent="0.25">
      <c r="A21" s="31"/>
      <c r="B21" s="31"/>
      <c r="C21" s="31"/>
      <c r="D21" s="31"/>
      <c r="E21" s="31"/>
      <c r="F21" s="31"/>
      <c r="G21" s="31"/>
      <c r="H21" s="31"/>
      <c r="I21" s="31"/>
      <c r="J21" s="31"/>
      <c r="K21" s="31"/>
    </row>
    <row r="22" spans="1:11" s="22" customFormat="1" x14ac:dyDescent="0.25">
      <c r="A22" s="31"/>
      <c r="B22" s="31"/>
      <c r="C22" s="31"/>
      <c r="D22" s="31"/>
      <c r="E22" s="31"/>
      <c r="F22" s="31"/>
      <c r="G22" s="31"/>
      <c r="H22" s="31"/>
      <c r="I22" s="31"/>
      <c r="J22" s="31"/>
      <c r="K22" s="31"/>
    </row>
    <row r="23" spans="1:11" s="22" customFormat="1" x14ac:dyDescent="0.25">
      <c r="A23" s="31"/>
      <c r="B23" s="31"/>
      <c r="C23" s="31"/>
      <c r="D23" s="31"/>
      <c r="E23" s="31"/>
      <c r="F23" s="31"/>
      <c r="G23" s="31"/>
      <c r="H23" s="31"/>
      <c r="I23" s="31"/>
      <c r="J23" s="31"/>
      <c r="K23" s="31"/>
    </row>
    <row r="24" spans="1:11" s="22" customFormat="1" x14ac:dyDescent="0.25">
      <c r="A24" s="31"/>
      <c r="B24" s="31"/>
      <c r="C24" s="31"/>
      <c r="D24" s="31"/>
      <c r="E24" s="31"/>
      <c r="F24" s="31"/>
      <c r="G24" s="31"/>
      <c r="H24" s="31"/>
      <c r="I24" s="31"/>
      <c r="J24" s="31"/>
      <c r="K24" s="31"/>
    </row>
    <row r="25" spans="1:11" s="22" customFormat="1" x14ac:dyDescent="0.25">
      <c r="A25" s="31"/>
      <c r="B25" s="31"/>
      <c r="C25" s="31"/>
      <c r="D25" s="31"/>
      <c r="E25" s="31"/>
      <c r="F25" s="31"/>
      <c r="G25" s="31"/>
      <c r="H25" s="31"/>
      <c r="I25" s="31"/>
      <c r="J25" s="31"/>
      <c r="K25" s="31"/>
    </row>
    <row r="26" spans="1:11" s="22" customFormat="1" x14ac:dyDescent="0.25">
      <c r="A26" s="31"/>
      <c r="B26" s="31"/>
      <c r="C26" s="31"/>
      <c r="D26" s="31"/>
      <c r="E26" s="31"/>
      <c r="F26" s="31"/>
      <c r="G26" s="31"/>
      <c r="H26" s="31"/>
      <c r="I26" s="31"/>
      <c r="J26" s="31"/>
      <c r="K26" s="31"/>
    </row>
    <row r="27" spans="1:11" s="22" customFormat="1" x14ac:dyDescent="0.25">
      <c r="A27" s="31"/>
      <c r="B27" s="31"/>
      <c r="C27" s="31"/>
      <c r="D27" s="31"/>
      <c r="E27" s="31"/>
      <c r="F27" s="31"/>
      <c r="G27" s="31"/>
      <c r="H27" s="31"/>
      <c r="I27" s="31"/>
      <c r="J27" s="31"/>
      <c r="K27" s="31"/>
    </row>
    <row r="28" spans="1:11" s="22" customFormat="1" x14ac:dyDescent="0.25">
      <c r="A28" s="31"/>
      <c r="B28" s="31"/>
      <c r="C28" s="31"/>
      <c r="D28" s="31"/>
      <c r="E28" s="31"/>
      <c r="F28" s="31"/>
      <c r="G28" s="31"/>
      <c r="H28" s="31"/>
      <c r="I28" s="31"/>
      <c r="J28" s="31"/>
      <c r="K28" s="31"/>
    </row>
    <row r="29" spans="1:11" x14ac:dyDescent="0.25">
      <c r="A29" s="2"/>
      <c r="B29" s="2"/>
      <c r="C29" s="2"/>
      <c r="D29" s="2"/>
      <c r="E29" s="2"/>
      <c r="F29" s="2"/>
      <c r="G29" s="2"/>
      <c r="H29" s="2"/>
      <c r="I29" s="2"/>
      <c r="J29" s="2"/>
      <c r="K29" s="2"/>
    </row>
    <row r="30" spans="1:11" ht="15.75" thickBot="1" x14ac:dyDescent="0.3">
      <c r="A30" s="24"/>
      <c r="B30" s="24"/>
      <c r="C30" s="24"/>
      <c r="D30" s="24"/>
      <c r="E30" s="24"/>
      <c r="F30" s="24"/>
      <c r="G30" s="24"/>
      <c r="H30" s="24"/>
      <c r="I30" s="24"/>
      <c r="J30" s="24"/>
      <c r="K30" s="24"/>
    </row>
    <row r="31" spans="1:11" ht="36" customHeight="1" thickBot="1" x14ac:dyDescent="0.3">
      <c r="A31" s="24"/>
      <c r="B31" s="295" t="s">
        <v>90</v>
      </c>
      <c r="C31" s="296"/>
      <c r="D31" s="296"/>
      <c r="E31" s="296"/>
      <c r="F31" s="296"/>
      <c r="G31" s="296"/>
      <c r="H31" s="296"/>
      <c r="I31" s="296"/>
      <c r="J31" s="321" t="s">
        <v>67</v>
      </c>
      <c r="K31" s="24"/>
    </row>
    <row r="32" spans="1:11" ht="15" customHeight="1" thickBot="1" x14ac:dyDescent="0.3">
      <c r="A32" s="24"/>
      <c r="B32" s="255" t="s">
        <v>35</v>
      </c>
      <c r="C32" s="258" t="s">
        <v>15</v>
      </c>
      <c r="D32" s="259"/>
      <c r="E32" s="260"/>
      <c r="F32" s="325" t="s">
        <v>137</v>
      </c>
      <c r="G32" s="326"/>
      <c r="H32" s="326"/>
      <c r="I32" s="326"/>
      <c r="J32" s="322"/>
      <c r="K32" s="24"/>
    </row>
    <row r="33" spans="1:16" ht="15.75" customHeight="1" thickBot="1" x14ac:dyDescent="0.3">
      <c r="A33" s="24"/>
      <c r="B33" s="255"/>
      <c r="C33" s="6" t="s">
        <v>32</v>
      </c>
      <c r="D33" s="57"/>
      <c r="E33" s="50"/>
      <c r="F33" s="6"/>
      <c r="G33" s="9" t="s">
        <v>14</v>
      </c>
      <c r="H33" s="148" t="s">
        <v>27</v>
      </c>
      <c r="I33" s="150" t="s">
        <v>135</v>
      </c>
      <c r="J33" s="5" t="s">
        <v>20</v>
      </c>
      <c r="K33" s="24"/>
    </row>
    <row r="34" spans="1:16" ht="15.75" customHeight="1" thickBot="1" x14ac:dyDescent="0.3">
      <c r="A34" s="24"/>
      <c r="B34" s="255"/>
      <c r="C34" s="6" t="s">
        <v>31</v>
      </c>
      <c r="D34" s="58"/>
      <c r="E34" s="50" t="s">
        <v>87</v>
      </c>
      <c r="F34" s="6" t="s">
        <v>13</v>
      </c>
      <c r="G34" s="59">
        <v>420</v>
      </c>
      <c r="H34" s="199">
        <f>G34/920</f>
        <v>0.45652173913043476</v>
      </c>
      <c r="I34" s="151">
        <f>G34/2000</f>
        <v>0.21</v>
      </c>
      <c r="J34" s="149" t="s">
        <v>8</v>
      </c>
      <c r="K34" s="24"/>
    </row>
    <row r="35" spans="1:16" ht="15.75" customHeight="1" thickBot="1" x14ac:dyDescent="0.3">
      <c r="A35" s="24"/>
      <c r="B35" s="255"/>
      <c r="C35" s="6" t="s">
        <v>33</v>
      </c>
      <c r="D35" s="58"/>
      <c r="E35" s="50" t="s">
        <v>0</v>
      </c>
      <c r="F35" s="6" t="s">
        <v>92</v>
      </c>
      <c r="G35" s="59">
        <v>700</v>
      </c>
      <c r="H35" s="199">
        <f>G35/1640</f>
        <v>0.42682926829268292</v>
      </c>
      <c r="I35" s="151">
        <f t="shared" ref="I35:I40" si="0">G35/2000</f>
        <v>0.35</v>
      </c>
      <c r="J35" s="5" t="s">
        <v>21</v>
      </c>
      <c r="K35" s="24"/>
    </row>
    <row r="36" spans="1:16" ht="15.75" customHeight="1" thickBot="1" x14ac:dyDescent="0.3">
      <c r="A36" s="24"/>
      <c r="B36" s="255"/>
      <c r="C36" s="6" t="s">
        <v>34</v>
      </c>
      <c r="D36" s="58"/>
      <c r="E36" s="50" t="s">
        <v>1</v>
      </c>
      <c r="F36" s="6" t="s">
        <v>93</v>
      </c>
      <c r="G36" s="59">
        <v>325</v>
      </c>
      <c r="H36" s="199">
        <f>G36/560</f>
        <v>0.5803571428571429</v>
      </c>
      <c r="I36" s="151">
        <f t="shared" si="0"/>
        <v>0.16250000000000001</v>
      </c>
      <c r="J36" s="149" t="s">
        <v>13</v>
      </c>
      <c r="K36" s="24"/>
    </row>
    <row r="37" spans="1:16" ht="15.75" customHeight="1" thickBot="1" x14ac:dyDescent="0.3">
      <c r="A37" s="24"/>
      <c r="B37" s="255"/>
      <c r="C37" s="18" t="s">
        <v>139</v>
      </c>
      <c r="D37" s="261" t="s">
        <v>140</v>
      </c>
      <c r="E37" s="262"/>
      <c r="F37" s="6" t="s">
        <v>23</v>
      </c>
      <c r="G37" s="59">
        <v>565</v>
      </c>
      <c r="H37" s="199">
        <f>G37/1040</f>
        <v>0.54326923076923073</v>
      </c>
      <c r="I37" s="151">
        <f t="shared" si="0"/>
        <v>0.28249999999999997</v>
      </c>
      <c r="J37" s="5" t="s">
        <v>25</v>
      </c>
      <c r="K37" s="24"/>
    </row>
    <row r="38" spans="1:16" ht="15.75" customHeight="1" thickBot="1" x14ac:dyDescent="0.3">
      <c r="A38" s="24"/>
      <c r="B38" s="255"/>
      <c r="C38" s="327" t="s">
        <v>51</v>
      </c>
      <c r="D38" s="328"/>
      <c r="E38" s="328"/>
      <c r="F38" s="6" t="s">
        <v>24</v>
      </c>
      <c r="G38" s="59">
        <v>555</v>
      </c>
      <c r="H38" s="199">
        <f>G38/920</f>
        <v>0.60326086956521741</v>
      </c>
      <c r="I38" s="151">
        <f t="shared" si="0"/>
        <v>0.27750000000000002</v>
      </c>
      <c r="J38" s="149" t="s">
        <v>23</v>
      </c>
      <c r="K38" s="24"/>
    </row>
    <row r="39" spans="1:16" ht="15.75" customHeight="1" thickBot="1" x14ac:dyDescent="0.3">
      <c r="A39" s="24"/>
      <c r="B39" s="255"/>
      <c r="C39" s="329"/>
      <c r="D39" s="330"/>
      <c r="E39" s="330"/>
      <c r="F39" s="6" t="s">
        <v>26</v>
      </c>
      <c r="G39" s="59">
        <v>425</v>
      </c>
      <c r="H39" s="199">
        <f>G39/1200</f>
        <v>0.35416666666666669</v>
      </c>
      <c r="I39" s="151">
        <f t="shared" si="0"/>
        <v>0.21249999999999999</v>
      </c>
      <c r="J39" s="5" t="s">
        <v>49</v>
      </c>
      <c r="K39" s="24"/>
    </row>
    <row r="40" spans="1:16" ht="15.75" customHeight="1" thickBot="1" x14ac:dyDescent="0.3">
      <c r="A40" s="24"/>
      <c r="B40" s="255"/>
      <c r="C40" s="331"/>
      <c r="D40" s="332"/>
      <c r="E40" s="332"/>
      <c r="F40" s="8" t="s">
        <v>105</v>
      </c>
      <c r="G40" s="63">
        <v>325</v>
      </c>
      <c r="H40" s="200">
        <f>G40/480</f>
        <v>0.67708333333333337</v>
      </c>
      <c r="I40" s="152">
        <f t="shared" si="0"/>
        <v>0.16250000000000001</v>
      </c>
      <c r="J40" s="118" t="s">
        <v>39</v>
      </c>
      <c r="K40" s="24"/>
    </row>
    <row r="41" spans="1:16" ht="15.75" x14ac:dyDescent="0.25">
      <c r="A41" s="24"/>
      <c r="B41" s="277"/>
      <c r="C41" s="280"/>
      <c r="D41" s="314" t="s">
        <v>5</v>
      </c>
      <c r="E41" s="314"/>
      <c r="F41" s="314"/>
      <c r="G41" s="315" t="s">
        <v>6</v>
      </c>
      <c r="H41" s="315" t="s">
        <v>7</v>
      </c>
      <c r="I41" s="323" t="s">
        <v>104</v>
      </c>
      <c r="J41" s="201" t="str">
        <f>IF(J40="YES","Please enter the nutrient values on line 7.",IF(J40="NO","Average nutrient values for manure being used."))</f>
        <v>Please enter the nutrient values on line 7.</v>
      </c>
      <c r="K41" s="24"/>
    </row>
    <row r="42" spans="1:16" ht="15" customHeight="1" thickBot="1" x14ac:dyDescent="0.3">
      <c r="A42" s="24"/>
      <c r="B42" s="278"/>
      <c r="C42" s="281"/>
      <c r="D42" s="10" t="s">
        <v>2</v>
      </c>
      <c r="E42" s="10" t="s">
        <v>3</v>
      </c>
      <c r="F42" s="87" t="s">
        <v>4</v>
      </c>
      <c r="G42" s="316"/>
      <c r="H42" s="316"/>
      <c r="I42" s="324"/>
      <c r="J42" s="84"/>
      <c r="K42" s="24"/>
      <c r="M42" s="34"/>
    </row>
    <row r="43" spans="1:16" ht="15" customHeight="1" thickBot="1" x14ac:dyDescent="0.3">
      <c r="A43" s="24"/>
      <c r="B43" s="279"/>
      <c r="C43" s="100" t="s">
        <v>68</v>
      </c>
      <c r="D43" s="93"/>
      <c r="E43" s="93"/>
      <c r="F43" s="94"/>
      <c r="G43" s="217" t="str">
        <f>IF(D35="","",IF(AND(D37="West river-non irrigated",D35&lt;=3),78,IF(AND(D37="West river-non irrigated",D35&gt;=4,D35&lt;=7),52,IF(AND(D37="West river-non irrigated",D35&gt;=8,D35&lt;=11),39,IF(AND(D37="West river-non irrigated",D35&gt;=12,D35&lt;=15),26,IF(AND(D37="West river-non irrigated",D35&gt;=16),10,IF(AND(D37="East river-non irrigated",D35&lt;=3),104,IF(AND(D37="East river-non irrigated",D35&gt;=4,D35&lt;=7),78,IF(AND(D37="East river-non irrigated",D35&gt;=8,D35&lt;=11),52,IF(AND(D37="East river-non irrigated",D35&gt;=12,D35&lt;=15),39,IF(AND(D37="East river-non irrigated",D35&gt;=16),10,IF(AND(D37="Irrigated",D35&lt;=3),156,IF(AND(D37="Irrigated",D35&gt;=4,D35&lt;=7),104,IF(AND(D37="Irrigated",D35&gt;=8,D35&lt;=11),78,IF(AND(D37="Irrigated",D35&gt;=12,D35&lt;=15),52,IF(AND(D37="Irrigated",D35&gt;=16),26))))))))))))))))</f>
        <v/>
      </c>
      <c r="H43" s="216" t="str">
        <f>IF(D36="","",IF(AND(D37="West river-non irrigated",D36&lt;=40),120,IF(AND(D37="West river-non irrigated",D36&gt;=41,D36&lt;=80),90,IF(AND(D37="West river-non irrigated",D36&gt;=81,D36&lt;=120),60,IF(AND(D37="West river-non irrigated",D36&gt;=121,D36&lt;=160),30,IF(AND(D37="West river-non irrigated",D36&gt;=161),0,IF(AND(D37="East river-non irrigated",D36&lt;=40),120,IF(AND(D37="East river-non irrigated",D36&gt;=41,D36&lt;=80),90,IF(AND(D37="East river-non irrigated",D36&gt;=81,D36&lt;=120),60,IF(AND(D37="East river-non irrigated",D36&gt;=121,D36&lt;=160),60,IF(AND(D37="East river-non irrigated",D36&gt;=161),60,IF(AND(D37="Irrigated",D36&lt;=40),120,IF(AND(D37="Irrigated",D36&gt;=41,D36&lt;=80),90,IF(AND(D37="Irrigated",D36&gt;=81,D36&lt;=120),60,IF(AND(D37="Irrigated",D36&gt;=121,D36&lt;=160),60,IF(AND(D37="Irrigated",D36&gt;=161),0))))))))))))))))</f>
        <v/>
      </c>
      <c r="I43" s="145"/>
      <c r="J43" s="301" t="s">
        <v>22</v>
      </c>
      <c r="K43" s="24"/>
      <c r="M43" s="34"/>
      <c r="P43" s="34"/>
    </row>
    <row r="44" spans="1:16" ht="15" customHeight="1" x14ac:dyDescent="0.25">
      <c r="A44" s="24"/>
      <c r="B44" s="292" t="s">
        <v>12</v>
      </c>
      <c r="C44" s="99" t="s">
        <v>52</v>
      </c>
      <c r="D44" s="96"/>
      <c r="E44" s="96"/>
      <c r="F44" s="97"/>
      <c r="G44" s="96"/>
      <c r="H44" s="96"/>
      <c r="I44" s="146"/>
      <c r="J44" s="302"/>
      <c r="K44" s="24"/>
    </row>
    <row r="45" spans="1:16" x14ac:dyDescent="0.25">
      <c r="A45" s="24"/>
      <c r="B45" s="282"/>
      <c r="C45" s="6" t="s">
        <v>53</v>
      </c>
      <c r="D45" s="198">
        <f>IF(J34="Immediately",0.95,IF(J34="One day later", 0.5,IF(J34="Two days later", 0.25,IF(J34="Three days later",0.15,IF(J34="Seven or more days later",0)))))</f>
        <v>0.95</v>
      </c>
      <c r="E45" s="198">
        <v>0.5</v>
      </c>
      <c r="F45" s="12"/>
      <c r="G45" s="192">
        <v>0.8</v>
      </c>
      <c r="H45" s="192">
        <v>0.9</v>
      </c>
      <c r="I45" s="193">
        <v>0.55000000000000004</v>
      </c>
      <c r="J45" s="302"/>
      <c r="K45" s="24"/>
    </row>
    <row r="46" spans="1:16" x14ac:dyDescent="0.25">
      <c r="A46" s="24"/>
      <c r="B46" s="282"/>
      <c r="C46" s="6" t="s">
        <v>118</v>
      </c>
      <c r="D46" s="188">
        <f>IF(J40="YES",D45*D44,IF(J40="NO",D45*E48))</f>
        <v>0</v>
      </c>
      <c r="E46" s="188">
        <f>IF(J40="YES",E45*E44,IF(J40="NO",E45*E49))</f>
        <v>0</v>
      </c>
      <c r="F46" s="188">
        <f>E46+D46</f>
        <v>0</v>
      </c>
      <c r="G46" s="188">
        <f>IF(J40="YES",G45*G44,IF(AND(J40="YES",G44=""),0,IF(J40="NO",G45*E50)))</f>
        <v>0</v>
      </c>
      <c r="H46" s="188">
        <f>IF(J40="YES",H45*H44,IF(AND(H44="",J40="YES"),0,IF(J40="NO",H45*E51)))</f>
        <v>0</v>
      </c>
      <c r="I46" s="194">
        <f>IF(J40="YES",I45*I44,IF(AND(I44="",J40="YES"),0,IF(J40="NO",I45*E52)))</f>
        <v>0</v>
      </c>
      <c r="J46" s="302"/>
      <c r="K46" s="24"/>
    </row>
    <row r="47" spans="1:16" ht="15" customHeight="1" x14ac:dyDescent="0.25">
      <c r="A47" s="24"/>
      <c r="B47" s="282"/>
      <c r="C47" s="6" t="s">
        <v>119</v>
      </c>
      <c r="D47" s="218" t="s">
        <v>140</v>
      </c>
      <c r="E47" s="123"/>
      <c r="F47" s="189">
        <f>F50*F46</f>
        <v>0</v>
      </c>
      <c r="G47" s="189">
        <f>IF(G46=0,0,F50*G46)</f>
        <v>0</v>
      </c>
      <c r="H47" s="189">
        <f>F50*H46</f>
        <v>0</v>
      </c>
      <c r="I47" s="195">
        <f>I46*F50</f>
        <v>0</v>
      </c>
      <c r="J47" s="302"/>
      <c r="K47" s="24"/>
    </row>
    <row r="48" spans="1:16" ht="15.75" thickBot="1" x14ac:dyDescent="0.3">
      <c r="A48" s="24"/>
      <c r="B48" s="282"/>
      <c r="C48" s="6" t="s">
        <v>120</v>
      </c>
      <c r="D48" s="219" t="s">
        <v>141</v>
      </c>
      <c r="E48" s="35">
        <v>0.76</v>
      </c>
      <c r="F48" s="189">
        <f>IF(I43&gt;0,(F47-F43)+(I49*0.21),F47-F43)</f>
        <v>0</v>
      </c>
      <c r="G48" s="189">
        <f>IF(G43="",0,G47-G43)</f>
        <v>0</v>
      </c>
      <c r="H48" s="189">
        <f>IF(H43="",0,H47-H43)</f>
        <v>0</v>
      </c>
      <c r="I48" s="195">
        <f>I47-I43</f>
        <v>0</v>
      </c>
      <c r="J48" s="117"/>
      <c r="K48" s="24"/>
    </row>
    <row r="49" spans="1:11" ht="15.75" thickBot="1" x14ac:dyDescent="0.3">
      <c r="A49" s="24"/>
      <c r="B49" s="282"/>
      <c r="C49" s="55" t="s">
        <v>54</v>
      </c>
      <c r="D49" s="219" t="s">
        <v>142</v>
      </c>
      <c r="E49" s="56">
        <v>12.96</v>
      </c>
      <c r="F49" s="190">
        <f>IF(AND(J36="Urea",F48&lt;0),ABS(F48)*2.1739,IF(AND(J36="Anhydrous NH3",F48&lt;0),ABS(F48)*1.2195,IF(AND(J36="UAN-28%",F48&lt;0),ABS(F48)*3.5714,IF(F48&gt;0,0,IF(F43="",0)))))</f>
        <v>0</v>
      </c>
      <c r="G49" s="67"/>
      <c r="H49" s="196">
        <f>IF(H48=0,0,IF(H48&gt;0,0, IF(H48&lt;0,ABS(H48)*1.6666)))</f>
        <v>0</v>
      </c>
      <c r="I49" s="197">
        <f>IF(I48&gt;=0,0,IF(I48&lt;0,ABS(I48)*4.1667))</f>
        <v>0</v>
      </c>
      <c r="J49" s="88" t="s">
        <v>37</v>
      </c>
      <c r="K49" s="24"/>
    </row>
    <row r="50" spans="1:11" x14ac:dyDescent="0.25">
      <c r="A50" s="24"/>
      <c r="B50" s="282"/>
      <c r="C50" s="52" t="s">
        <v>55</v>
      </c>
      <c r="D50" s="53" t="s">
        <v>41</v>
      </c>
      <c r="E50" s="53">
        <v>6.1</v>
      </c>
      <c r="F50" s="191">
        <f>IF(G46=0,0,G43/G46)</f>
        <v>0</v>
      </c>
      <c r="G50" s="129"/>
      <c r="H50" s="98" t="s">
        <v>39</v>
      </c>
      <c r="I50" s="130"/>
      <c r="J50" s="82"/>
      <c r="K50" s="24"/>
    </row>
    <row r="51" spans="1:11" x14ac:dyDescent="0.25">
      <c r="A51" s="24"/>
      <c r="B51" s="282"/>
      <c r="C51" s="6" t="s">
        <v>63</v>
      </c>
      <c r="D51" s="35" t="s">
        <v>7</v>
      </c>
      <c r="E51" s="35">
        <v>11.92</v>
      </c>
      <c r="F51" s="68">
        <v>0</v>
      </c>
      <c r="G51" s="131"/>
      <c r="H51" s="35"/>
      <c r="I51" s="132"/>
      <c r="J51" s="83"/>
      <c r="K51" s="24"/>
    </row>
    <row r="52" spans="1:11" x14ac:dyDescent="0.25">
      <c r="A52" s="24"/>
      <c r="B52" s="282"/>
      <c r="C52" s="32" t="s">
        <v>64</v>
      </c>
      <c r="D52" s="35" t="s">
        <v>112</v>
      </c>
      <c r="E52" s="35">
        <v>2.36</v>
      </c>
      <c r="F52" s="68">
        <v>0</v>
      </c>
      <c r="G52" s="133"/>
      <c r="H52" s="89" t="s">
        <v>40</v>
      </c>
      <c r="I52" s="134"/>
      <c r="J52" s="83"/>
      <c r="K52" s="24"/>
    </row>
    <row r="53" spans="1:11" x14ac:dyDescent="0.25">
      <c r="A53" s="24"/>
      <c r="B53" s="282"/>
      <c r="C53" s="32" t="s">
        <v>65</v>
      </c>
      <c r="D53" s="123"/>
      <c r="E53" s="123"/>
      <c r="F53" s="69">
        <v>0</v>
      </c>
      <c r="G53" s="133"/>
      <c r="H53" s="89">
        <f>IF(J40="NO",1,0)</f>
        <v>0</v>
      </c>
      <c r="I53" s="134"/>
      <c r="J53" s="83"/>
      <c r="K53" s="24"/>
    </row>
    <row r="54" spans="1:11" x14ac:dyDescent="0.25">
      <c r="A54" s="24"/>
      <c r="B54" s="282"/>
      <c r="C54" s="54" t="s">
        <v>66</v>
      </c>
      <c r="D54" s="123"/>
      <c r="E54" s="123"/>
      <c r="F54" s="70">
        <v>0</v>
      </c>
      <c r="G54" s="131"/>
      <c r="H54" s="104"/>
      <c r="I54" s="134"/>
      <c r="J54" s="83"/>
      <c r="K54" s="24"/>
    </row>
    <row r="55" spans="1:11" x14ac:dyDescent="0.25">
      <c r="A55" s="24"/>
      <c r="B55" s="282"/>
      <c r="C55" s="17" t="s">
        <v>56</v>
      </c>
      <c r="D55" s="123"/>
      <c r="E55" s="123"/>
      <c r="F55" s="71">
        <v>1</v>
      </c>
      <c r="G55" s="131"/>
      <c r="H55" s="104"/>
      <c r="I55" s="134"/>
      <c r="J55" s="83"/>
      <c r="K55" s="24"/>
    </row>
    <row r="56" spans="1:11" x14ac:dyDescent="0.25">
      <c r="A56" s="24"/>
      <c r="B56" s="282"/>
      <c r="C56" s="6" t="s">
        <v>116</v>
      </c>
      <c r="D56" s="123"/>
      <c r="E56" s="123"/>
      <c r="F56" s="86">
        <f>F50*D34</f>
        <v>0</v>
      </c>
      <c r="G56" s="123"/>
      <c r="H56" s="104"/>
      <c r="I56" s="134"/>
      <c r="J56" s="83"/>
      <c r="K56" s="24"/>
    </row>
    <row r="57" spans="1:11" ht="15.75" thickBot="1" x14ac:dyDescent="0.3">
      <c r="A57" s="24"/>
      <c r="B57" s="283"/>
      <c r="C57" s="48" t="s">
        <v>117</v>
      </c>
      <c r="D57" s="124"/>
      <c r="E57" s="124"/>
      <c r="F57" s="90">
        <f>IF(F55="",0,F56/F55)</f>
        <v>0</v>
      </c>
      <c r="G57" s="124"/>
      <c r="H57" s="124"/>
      <c r="I57" s="135"/>
      <c r="J57" s="83"/>
      <c r="K57" s="24"/>
    </row>
    <row r="58" spans="1:11" ht="15" customHeight="1" x14ac:dyDescent="0.25">
      <c r="A58" s="24"/>
      <c r="B58" s="274" t="s">
        <v>28</v>
      </c>
      <c r="C58" s="13" t="s">
        <v>121</v>
      </c>
      <c r="D58" s="125"/>
      <c r="E58" s="125"/>
      <c r="F58" s="182">
        <f>F43</f>
        <v>0</v>
      </c>
      <c r="G58" s="183">
        <f>IF(G43="",0,G43)</f>
        <v>0</v>
      </c>
      <c r="H58" s="183">
        <f>IF(H43="",0,H43)</f>
        <v>0</v>
      </c>
      <c r="I58" s="184">
        <f>I43</f>
        <v>0</v>
      </c>
      <c r="J58" s="4"/>
      <c r="K58" s="24"/>
    </row>
    <row r="59" spans="1:11" ht="15" customHeight="1" x14ac:dyDescent="0.25">
      <c r="A59" s="24"/>
      <c r="B59" s="275"/>
      <c r="C59" s="241" t="s">
        <v>122</v>
      </c>
      <c r="D59" s="319">
        <f>IF(J38="11-52-00",(G59*0.11)+(I59*0.21),IF(J38="18-46-00",(G59*0.18)+(I59*0.21)))</f>
        <v>0</v>
      </c>
      <c r="E59" s="319">
        <f>IF(J38="11-52-00",((G59*0.11)+(I59*0.21))-F58,IF(J38="18-46-00",((G59*0.18)+(I59*0.21))-F58))</f>
        <v>0</v>
      </c>
      <c r="F59" s="317">
        <f>IF(AND(J36="Urea",E59&lt;0),ABS(E59)*2.1739,IF(AND(J36="Anhydrous NH3",E59&lt;0),ABS(E59)*1.2195,IF(AND(J36="UAN-28%",E59&lt;0),ABS(E59)*3.5714,IF(E59&gt;0,0,IF(F43="",0)))))</f>
        <v>0</v>
      </c>
      <c r="G59" s="318">
        <f>IF(J38="11-52-00",G58*1.9231,IF(J38="18-46-00",G58*2.1739))</f>
        <v>0</v>
      </c>
      <c r="H59" s="318">
        <f>IF(D37="",0,H58*1.6667)</f>
        <v>0</v>
      </c>
      <c r="I59" s="306">
        <f>IF(I43="",0,I58*4.16667)</f>
        <v>0</v>
      </c>
      <c r="J59" s="4"/>
      <c r="K59" s="24"/>
    </row>
    <row r="60" spans="1:11" ht="15" customHeight="1" x14ac:dyDescent="0.25">
      <c r="A60" s="24"/>
      <c r="B60" s="275"/>
      <c r="C60" s="241"/>
      <c r="D60" s="319"/>
      <c r="E60" s="319"/>
      <c r="F60" s="317"/>
      <c r="G60" s="318"/>
      <c r="H60" s="318"/>
      <c r="I60" s="306"/>
      <c r="J60" s="4"/>
      <c r="K60" s="24"/>
    </row>
    <row r="61" spans="1:11" ht="15.75" thickBot="1" x14ac:dyDescent="0.3">
      <c r="A61" s="24"/>
      <c r="B61" s="276"/>
      <c r="C61" s="121" t="s">
        <v>123</v>
      </c>
      <c r="D61" s="187"/>
      <c r="E61" s="187"/>
      <c r="F61" s="185">
        <f>(ABS(E59)+D59)-F58</f>
        <v>0</v>
      </c>
      <c r="G61" s="144">
        <f>IF(J38="11-52-00",(G59/1.9231)-G58,IF(J38="18-46-00",(G59/2.1739)-G58))</f>
        <v>0</v>
      </c>
      <c r="H61" s="144">
        <f>(H59/1.6667)-H58</f>
        <v>0</v>
      </c>
      <c r="I61" s="186">
        <f>(I59/4.16667)-I58</f>
        <v>0</v>
      </c>
      <c r="J61" s="4"/>
      <c r="K61" s="24"/>
    </row>
    <row r="62" spans="1:11" x14ac:dyDescent="0.25">
      <c r="A62" s="24"/>
      <c r="B62" s="282" t="s">
        <v>29</v>
      </c>
      <c r="C62" s="49" t="s">
        <v>57</v>
      </c>
      <c r="D62" s="91" t="s">
        <v>12</v>
      </c>
      <c r="E62" s="92" t="s">
        <v>28</v>
      </c>
      <c r="F62" s="307"/>
      <c r="G62" s="308"/>
      <c r="H62" s="308"/>
      <c r="I62" s="309"/>
      <c r="J62" s="83"/>
      <c r="K62" s="24"/>
    </row>
    <row r="63" spans="1:11" ht="15" customHeight="1" x14ac:dyDescent="0.25">
      <c r="A63" s="24"/>
      <c r="B63" s="282"/>
      <c r="C63" s="6" t="s">
        <v>58</v>
      </c>
      <c r="D63" s="162">
        <f>IF(J36="Urea",F49*G34/2000,IF(J36="Anhydrous NH3",F49*G35/2000,IF(J36="UAN-28%",F49*G36/2000)))</f>
        <v>0</v>
      </c>
      <c r="E63" s="173">
        <f>IF(J36="Urea",F59*G34/2000,IF(J36="Anhydrous NH3",F59*G35/2000,IF(J36="UAN-28%",F59*G36/2000)))</f>
        <v>0</v>
      </c>
      <c r="F63" s="307"/>
      <c r="G63" s="308"/>
      <c r="H63" s="308"/>
      <c r="I63" s="309"/>
      <c r="J63" s="83"/>
      <c r="K63" s="24"/>
    </row>
    <row r="64" spans="1:11" x14ac:dyDescent="0.25">
      <c r="A64" s="24"/>
      <c r="B64" s="282"/>
      <c r="C64" s="6" t="s">
        <v>59</v>
      </c>
      <c r="D64" s="163">
        <f>IF(J38="11-52-00",H37*F50*G46,IF(J38="18-46-00",H38*F50*G46))</f>
        <v>0</v>
      </c>
      <c r="E64" s="174">
        <f>IF(J38="11-52-00",G37/2000*G59,IF(J38="18-46-00",G38/2000*G59))</f>
        <v>0</v>
      </c>
      <c r="F64" s="307"/>
      <c r="G64" s="308"/>
      <c r="H64" s="308"/>
      <c r="I64" s="309"/>
      <c r="J64" s="83"/>
      <c r="K64" s="24"/>
    </row>
    <row r="65" spans="1:11" x14ac:dyDescent="0.25">
      <c r="A65" s="24"/>
      <c r="B65" s="282"/>
      <c r="C65" s="6" t="s">
        <v>60</v>
      </c>
      <c r="D65" s="164">
        <f>H49*G39/2000</f>
        <v>0</v>
      </c>
      <c r="E65" s="175">
        <f>H59*G39/2000</f>
        <v>0</v>
      </c>
      <c r="F65" s="307"/>
      <c r="G65" s="308"/>
      <c r="H65" s="308"/>
      <c r="I65" s="309"/>
      <c r="J65" s="83"/>
      <c r="K65" s="24"/>
    </row>
    <row r="66" spans="1:11" x14ac:dyDescent="0.25">
      <c r="A66" s="24"/>
      <c r="B66" s="282"/>
      <c r="C66" s="6" t="s">
        <v>108</v>
      </c>
      <c r="D66" s="164">
        <f>IF(OR(I48&gt;0, I43=""),0,IF(I48&lt;0,ABS(I48)*H40))</f>
        <v>0</v>
      </c>
      <c r="E66" s="175">
        <f>IF(OR(I43=0, I43=""),0,I59*G40/2000)</f>
        <v>0</v>
      </c>
      <c r="F66" s="307"/>
      <c r="G66" s="308"/>
      <c r="H66" s="308"/>
      <c r="I66" s="309"/>
      <c r="J66" s="83"/>
      <c r="K66" s="24"/>
    </row>
    <row r="67" spans="1:11" x14ac:dyDescent="0.25">
      <c r="A67" s="24"/>
      <c r="B67" s="282"/>
      <c r="C67" s="6" t="s">
        <v>106</v>
      </c>
      <c r="D67" s="165">
        <f>IF(OR(F50="", F50=0, F55="", F55=0 ),0,((F51+(F52*F53))/(F55/F50))+F54+E67)</f>
        <v>0</v>
      </c>
      <c r="E67" s="60">
        <v>7</v>
      </c>
      <c r="F67" s="307"/>
      <c r="G67" s="308"/>
      <c r="H67" s="308"/>
      <c r="I67" s="309"/>
      <c r="J67" s="83"/>
      <c r="K67" s="24"/>
    </row>
    <row r="68" spans="1:11" x14ac:dyDescent="0.25">
      <c r="A68" s="24"/>
      <c r="B68" s="282"/>
      <c r="C68" s="14" t="s">
        <v>107</v>
      </c>
      <c r="D68" s="166">
        <f>SUM(D63:D67)</f>
        <v>0</v>
      </c>
      <c r="E68" s="176">
        <f>IF(F43="",0,SUM(E63:E67))</f>
        <v>0</v>
      </c>
      <c r="F68" s="307"/>
      <c r="G68" s="308"/>
      <c r="H68" s="308"/>
      <c r="I68" s="309"/>
      <c r="J68" s="83"/>
      <c r="K68" s="24"/>
    </row>
    <row r="69" spans="1:11" ht="15.75" thickBot="1" x14ac:dyDescent="0.3">
      <c r="A69" s="24"/>
      <c r="B69" s="283"/>
      <c r="C69" s="15" t="s">
        <v>131</v>
      </c>
      <c r="D69" s="167">
        <f>D68*D34</f>
        <v>0</v>
      </c>
      <c r="E69" s="177">
        <f>E68*D34</f>
        <v>0</v>
      </c>
      <c r="F69" s="307"/>
      <c r="G69" s="308"/>
      <c r="H69" s="308"/>
      <c r="I69" s="309"/>
      <c r="J69" s="83"/>
      <c r="K69" s="24"/>
    </row>
    <row r="70" spans="1:11" x14ac:dyDescent="0.25">
      <c r="A70" s="24"/>
      <c r="B70" s="287" t="s">
        <v>30</v>
      </c>
      <c r="C70" s="16" t="s">
        <v>124</v>
      </c>
      <c r="D70" s="168"/>
      <c r="E70" s="178"/>
      <c r="F70" s="307"/>
      <c r="G70" s="308"/>
      <c r="H70" s="308"/>
      <c r="I70" s="309"/>
      <c r="J70" s="83"/>
      <c r="K70" s="24"/>
    </row>
    <row r="71" spans="1:11" ht="15" customHeight="1" x14ac:dyDescent="0.25">
      <c r="A71" s="24"/>
      <c r="B71" s="288"/>
      <c r="C71" s="7" t="s">
        <v>61</v>
      </c>
      <c r="D71" s="169">
        <f>IF(AND(J36="Urea",J40="NO"),(H34*F47)+(E49*0.15*H34*F50),IF(J36="Urea",(H34*F47)+(E44*0.15*H34*F50),IF(AND(J36="Anhydrous NH3",J40="NO"),(H35*F47)+(E49*0.15*H35*F50),IF(J36="Anhydrous NH3",(H35*F47)+(E44*0.15*H35*F50),IF(AND(J36="UAN-28%",J40="NO"),(H34*F47)+(E49*0.15*H36*F50),IF(J36="UAN-28%",(H36*F47)+(E44*0.15*H36*F50)))))))</f>
        <v>0</v>
      </c>
      <c r="E71" s="179">
        <f>IF(J36="Urea",H34*(F58-ABS(E59)),IF(J36="Anhydrous NH3",H35*(F58-ABS(E59)),IF(J36="UAN-28%",H36*(F58-ABS(E59)))))</f>
        <v>0</v>
      </c>
      <c r="F71" s="307"/>
      <c r="G71" s="308"/>
      <c r="H71" s="308"/>
      <c r="I71" s="309"/>
      <c r="J71" s="83"/>
      <c r="K71" s="24"/>
    </row>
    <row r="72" spans="1:11" x14ac:dyDescent="0.25">
      <c r="A72" s="24"/>
      <c r="B72" s="288"/>
      <c r="C72" s="6" t="s">
        <v>62</v>
      </c>
      <c r="D72" s="170">
        <f>H47*H39</f>
        <v>0</v>
      </c>
      <c r="E72" s="180">
        <v>0</v>
      </c>
      <c r="F72" s="307"/>
      <c r="G72" s="308"/>
      <c r="H72" s="308"/>
      <c r="I72" s="309"/>
      <c r="J72" s="83"/>
      <c r="K72" s="24"/>
    </row>
    <row r="73" spans="1:11" x14ac:dyDescent="0.25">
      <c r="A73" s="24"/>
      <c r="B73" s="288"/>
      <c r="C73" s="6" t="s">
        <v>109</v>
      </c>
      <c r="D73" s="170">
        <f>I47*H40</f>
        <v>0</v>
      </c>
      <c r="E73" s="180">
        <v>0</v>
      </c>
      <c r="F73" s="307"/>
      <c r="G73" s="308"/>
      <c r="H73" s="308"/>
      <c r="I73" s="309"/>
      <c r="J73" s="83"/>
      <c r="K73" s="24"/>
    </row>
    <row r="74" spans="1:11" x14ac:dyDescent="0.25">
      <c r="A74" s="24"/>
      <c r="B74" s="288"/>
      <c r="C74" s="14" t="s">
        <v>78</v>
      </c>
      <c r="D74" s="171">
        <f>SUM(D71:D73)</f>
        <v>0</v>
      </c>
      <c r="E74" s="171">
        <f>SUM(E71:E73)</f>
        <v>0</v>
      </c>
      <c r="F74" s="307"/>
      <c r="G74" s="308"/>
      <c r="H74" s="308"/>
      <c r="I74" s="309"/>
      <c r="J74" s="83"/>
      <c r="K74" s="24"/>
    </row>
    <row r="75" spans="1:11" ht="15.75" thickBot="1" x14ac:dyDescent="0.3">
      <c r="A75" s="24"/>
      <c r="B75" s="289"/>
      <c r="C75" s="15" t="s">
        <v>125</v>
      </c>
      <c r="D75" s="172">
        <f>D74*D34</f>
        <v>0</v>
      </c>
      <c r="E75" s="181">
        <f>E74*D34</f>
        <v>0</v>
      </c>
      <c r="F75" s="307"/>
      <c r="G75" s="308"/>
      <c r="H75" s="308"/>
      <c r="I75" s="309"/>
      <c r="J75" s="112" t="s">
        <v>100</v>
      </c>
      <c r="K75" s="24"/>
    </row>
    <row r="76" spans="1:11" ht="15" customHeight="1" x14ac:dyDescent="0.25">
      <c r="A76" s="24"/>
      <c r="B76" s="284" t="s">
        <v>97</v>
      </c>
      <c r="C76" s="266" t="s">
        <v>95</v>
      </c>
      <c r="D76" s="267">
        <f>IF(OR(D34="", G43=0),0,E68-D68+D74-E74)</f>
        <v>0</v>
      </c>
      <c r="E76" s="246"/>
      <c r="F76" s="307"/>
      <c r="G76" s="308"/>
      <c r="H76" s="308"/>
      <c r="I76" s="309"/>
      <c r="J76" s="83" t="s">
        <v>101</v>
      </c>
      <c r="K76" s="24"/>
    </row>
    <row r="77" spans="1:11" x14ac:dyDescent="0.25">
      <c r="A77" s="24"/>
      <c r="B77" s="285"/>
      <c r="C77" s="243"/>
      <c r="D77" s="268"/>
      <c r="E77" s="247"/>
      <c r="F77" s="307"/>
      <c r="G77" s="308"/>
      <c r="H77" s="308"/>
      <c r="I77" s="309"/>
      <c r="J77" s="83" t="s">
        <v>143</v>
      </c>
      <c r="K77" s="24"/>
    </row>
    <row r="78" spans="1:11" x14ac:dyDescent="0.25">
      <c r="A78" s="24"/>
      <c r="B78" s="285"/>
      <c r="C78" s="242" t="s">
        <v>96</v>
      </c>
      <c r="D78" s="269">
        <f>IF(D34="",0,D76-D72)</f>
        <v>0</v>
      </c>
      <c r="E78" s="248"/>
      <c r="F78" s="307"/>
      <c r="G78" s="308"/>
      <c r="H78" s="308"/>
      <c r="I78" s="309"/>
      <c r="J78" s="83" t="s">
        <v>89</v>
      </c>
      <c r="K78" s="24"/>
    </row>
    <row r="79" spans="1:11" x14ac:dyDescent="0.25">
      <c r="A79" s="24"/>
      <c r="B79" s="285"/>
      <c r="C79" s="243"/>
      <c r="D79" s="268"/>
      <c r="E79" s="247"/>
      <c r="F79" s="307"/>
      <c r="G79" s="308"/>
      <c r="H79" s="308"/>
      <c r="I79" s="309"/>
      <c r="J79" s="113" t="s">
        <v>102</v>
      </c>
      <c r="K79" s="24"/>
    </row>
    <row r="80" spans="1:11" ht="15" customHeight="1" x14ac:dyDescent="0.25">
      <c r="A80" s="24"/>
      <c r="B80" s="285"/>
      <c r="C80" s="242" t="s">
        <v>115</v>
      </c>
      <c r="D80" s="269">
        <f>IF(D34="",0,D76*D34)</f>
        <v>0</v>
      </c>
      <c r="E80" s="248"/>
      <c r="F80" s="307"/>
      <c r="G80" s="308"/>
      <c r="H80" s="308"/>
      <c r="I80" s="309"/>
      <c r="J80" s="83" t="s">
        <v>103</v>
      </c>
      <c r="K80" s="24"/>
    </row>
    <row r="81" spans="1:11" ht="15" customHeight="1" x14ac:dyDescent="0.25">
      <c r="A81" s="24"/>
      <c r="B81" s="285"/>
      <c r="C81" s="243"/>
      <c r="D81" s="268"/>
      <c r="E81" s="247"/>
      <c r="F81" s="307"/>
      <c r="G81" s="308"/>
      <c r="H81" s="308"/>
      <c r="I81" s="309"/>
      <c r="J81" s="114"/>
      <c r="K81" s="24"/>
    </row>
    <row r="82" spans="1:11" ht="15" customHeight="1" x14ac:dyDescent="0.25">
      <c r="A82" s="24"/>
      <c r="B82" s="285"/>
      <c r="C82" s="244" t="s">
        <v>114</v>
      </c>
      <c r="D82" s="320">
        <f>IF(D34="",0,D78*D34)</f>
        <v>0</v>
      </c>
      <c r="E82" s="249"/>
      <c r="F82" s="307"/>
      <c r="G82" s="308"/>
      <c r="H82" s="308"/>
      <c r="I82" s="309"/>
      <c r="J82" s="83"/>
      <c r="K82" s="24"/>
    </row>
    <row r="83" spans="1:11" ht="15.75" thickBot="1" x14ac:dyDescent="0.3">
      <c r="A83" s="24"/>
      <c r="B83" s="286"/>
      <c r="C83" s="245"/>
      <c r="D83" s="270"/>
      <c r="E83" s="250"/>
      <c r="F83" s="310"/>
      <c r="G83" s="311"/>
      <c r="H83" s="311"/>
      <c r="I83" s="312"/>
      <c r="J83" s="115" t="s">
        <v>144</v>
      </c>
      <c r="K83" s="24"/>
    </row>
    <row r="84" spans="1:11" x14ac:dyDescent="0.25">
      <c r="A84" s="24"/>
      <c r="B84" s="25"/>
      <c r="C84" s="24"/>
      <c r="D84" s="26"/>
      <c r="E84" s="24"/>
      <c r="F84" s="26"/>
      <c r="G84" s="24"/>
      <c r="H84" s="24"/>
      <c r="I84" s="24"/>
      <c r="J84" s="24"/>
      <c r="K84" s="24"/>
    </row>
    <row r="109" spans="1:11" ht="15.75" thickBot="1" x14ac:dyDescent="0.3">
      <c r="A109" s="23"/>
      <c r="B109" s="23"/>
      <c r="C109" s="23"/>
      <c r="D109" s="23"/>
      <c r="E109" s="23"/>
      <c r="F109" s="23"/>
      <c r="G109" s="23"/>
      <c r="H109" s="23"/>
      <c r="I109" s="23"/>
      <c r="J109" s="23"/>
      <c r="K109" s="23"/>
    </row>
    <row r="110" spans="1:11" ht="34.5" customHeight="1" thickBot="1" x14ac:dyDescent="0.3">
      <c r="A110" s="23"/>
      <c r="B110" s="295" t="s">
        <v>91</v>
      </c>
      <c r="C110" s="296"/>
      <c r="D110" s="296"/>
      <c r="E110" s="296"/>
      <c r="F110" s="296"/>
      <c r="G110" s="296"/>
      <c r="H110" s="296"/>
      <c r="I110" s="297"/>
      <c r="J110" s="304" t="s">
        <v>67</v>
      </c>
      <c r="K110" s="23"/>
    </row>
    <row r="111" spans="1:11" ht="15.75" customHeight="1" thickBot="1" x14ac:dyDescent="0.3">
      <c r="A111" s="23"/>
      <c r="B111" s="255" t="s">
        <v>35</v>
      </c>
      <c r="C111" s="258" t="s">
        <v>15</v>
      </c>
      <c r="D111" s="259"/>
      <c r="E111" s="260"/>
      <c r="F111" s="298" t="s">
        <v>136</v>
      </c>
      <c r="G111" s="299"/>
      <c r="H111" s="299"/>
      <c r="I111" s="300"/>
      <c r="J111" s="305"/>
      <c r="K111" s="23"/>
    </row>
    <row r="112" spans="1:11" ht="15.75" customHeight="1" thickBot="1" x14ac:dyDescent="0.3">
      <c r="A112" s="23"/>
      <c r="B112" s="255"/>
      <c r="C112" s="17" t="s">
        <v>32</v>
      </c>
      <c r="D112" s="57"/>
      <c r="E112" s="50"/>
      <c r="F112" s="6"/>
      <c r="G112" s="9" t="s">
        <v>14</v>
      </c>
      <c r="H112" s="148" t="s">
        <v>27</v>
      </c>
      <c r="I112" s="156" t="s">
        <v>135</v>
      </c>
      <c r="J112" s="51" t="s">
        <v>20</v>
      </c>
      <c r="K112" s="23"/>
    </row>
    <row r="113" spans="1:11" ht="15.75" customHeight="1" thickBot="1" x14ac:dyDescent="0.3">
      <c r="A113" s="23"/>
      <c r="B113" s="255"/>
      <c r="C113" s="17" t="s">
        <v>31</v>
      </c>
      <c r="D113" s="58"/>
      <c r="E113" s="50" t="s">
        <v>87</v>
      </c>
      <c r="F113" s="6" t="s">
        <v>13</v>
      </c>
      <c r="G113" s="59">
        <v>420</v>
      </c>
      <c r="H113" s="199">
        <f>G113/920</f>
        <v>0.45652173913043476</v>
      </c>
      <c r="I113" s="157">
        <f>G113/2000</f>
        <v>0.21</v>
      </c>
      <c r="J113" s="3" t="s">
        <v>10</v>
      </c>
      <c r="K113" s="23"/>
    </row>
    <row r="114" spans="1:11" ht="15.75" customHeight="1" thickBot="1" x14ac:dyDescent="0.3">
      <c r="A114" s="23"/>
      <c r="B114" s="255"/>
      <c r="C114" s="17" t="s">
        <v>33</v>
      </c>
      <c r="D114" s="58"/>
      <c r="E114" s="50" t="s">
        <v>0</v>
      </c>
      <c r="F114" s="6" t="s">
        <v>92</v>
      </c>
      <c r="G114" s="59">
        <v>700</v>
      </c>
      <c r="H114" s="199">
        <f>G114/1640</f>
        <v>0.42682926829268292</v>
      </c>
      <c r="I114" s="157">
        <f t="shared" ref="I114:I117" si="1">G114/2000</f>
        <v>0.35</v>
      </c>
      <c r="J114" s="51" t="s">
        <v>21</v>
      </c>
      <c r="K114" s="23"/>
    </row>
    <row r="115" spans="1:11" ht="15.75" customHeight="1" thickBot="1" x14ac:dyDescent="0.3">
      <c r="A115" s="23"/>
      <c r="B115" s="255"/>
      <c r="C115" s="17" t="s">
        <v>34</v>
      </c>
      <c r="D115" s="58"/>
      <c r="E115" s="50" t="s">
        <v>1</v>
      </c>
      <c r="F115" s="6" t="s">
        <v>93</v>
      </c>
      <c r="G115" s="59">
        <v>325</v>
      </c>
      <c r="H115" s="199">
        <f>G115/560</f>
        <v>0.5803571428571429</v>
      </c>
      <c r="I115" s="157">
        <f t="shared" si="1"/>
        <v>0.16250000000000001</v>
      </c>
      <c r="J115" s="3" t="s">
        <v>13</v>
      </c>
      <c r="K115" s="23"/>
    </row>
    <row r="116" spans="1:11" ht="15.75" customHeight="1" thickBot="1" x14ac:dyDescent="0.3">
      <c r="A116" s="23"/>
      <c r="B116" s="255"/>
      <c r="C116" s="18" t="s">
        <v>139</v>
      </c>
      <c r="D116" s="261" t="s">
        <v>141</v>
      </c>
      <c r="E116" s="262"/>
      <c r="F116" s="6" t="s">
        <v>23</v>
      </c>
      <c r="G116" s="59">
        <v>565</v>
      </c>
      <c r="H116" s="199">
        <f>G116/1040</f>
        <v>0.54326923076923073</v>
      </c>
      <c r="I116" s="157">
        <f t="shared" si="1"/>
        <v>0.28249999999999997</v>
      </c>
      <c r="J116" s="51" t="s">
        <v>49</v>
      </c>
      <c r="K116" s="23"/>
    </row>
    <row r="117" spans="1:11" ht="15.75" customHeight="1" thickBot="1" x14ac:dyDescent="0.3">
      <c r="A117" s="23"/>
      <c r="B117" s="255"/>
      <c r="C117" s="17"/>
      <c r="D117" s="72"/>
      <c r="E117" s="50"/>
      <c r="F117" s="6" t="s">
        <v>26</v>
      </c>
      <c r="G117" s="119">
        <v>425</v>
      </c>
      <c r="H117" s="199">
        <f>G117/1200</f>
        <v>0.35416666666666669</v>
      </c>
      <c r="I117" s="157">
        <f t="shared" si="1"/>
        <v>0.21249999999999999</v>
      </c>
      <c r="J117" s="3" t="s">
        <v>40</v>
      </c>
      <c r="K117" s="23"/>
    </row>
    <row r="118" spans="1:11" ht="15.75" customHeight="1" thickBot="1" x14ac:dyDescent="0.3">
      <c r="A118" s="23"/>
      <c r="B118" s="256"/>
      <c r="C118" s="106"/>
      <c r="D118" s="107"/>
      <c r="E118" s="108"/>
      <c r="F118" s="8" t="s">
        <v>105</v>
      </c>
      <c r="G118" s="63">
        <v>325</v>
      </c>
      <c r="H118" s="200">
        <f>G118/480</f>
        <v>0.67708333333333337</v>
      </c>
      <c r="I118" s="152">
        <f>G118/2000</f>
        <v>0.16250000000000001</v>
      </c>
      <c r="J118" s="202" t="str">
        <f>IF(J117="YES","Please enter the nutrient values on line 7.",IF(J117="NO","Average nutrient values for manure being used."))</f>
        <v>Average nutrient values for manure being used.</v>
      </c>
      <c r="K118" s="23"/>
    </row>
    <row r="119" spans="1:11" ht="15.75" x14ac:dyDescent="0.25">
      <c r="A119" s="23"/>
      <c r="B119" s="251"/>
      <c r="C119" s="290"/>
      <c r="D119" s="313" t="s">
        <v>5</v>
      </c>
      <c r="E119" s="313"/>
      <c r="F119" s="314"/>
      <c r="G119" s="315" t="s">
        <v>6</v>
      </c>
      <c r="H119" s="315" t="s">
        <v>7</v>
      </c>
      <c r="I119" s="257" t="s">
        <v>104</v>
      </c>
      <c r="J119" s="114"/>
      <c r="K119" s="23"/>
    </row>
    <row r="120" spans="1:11" ht="15.75" thickBot="1" x14ac:dyDescent="0.3">
      <c r="A120" s="23"/>
      <c r="B120" s="252"/>
      <c r="C120" s="291"/>
      <c r="D120" s="10" t="s">
        <v>2</v>
      </c>
      <c r="E120" s="10" t="s">
        <v>3</v>
      </c>
      <c r="F120" s="11" t="s">
        <v>4</v>
      </c>
      <c r="G120" s="316"/>
      <c r="H120" s="316"/>
      <c r="I120" s="257"/>
      <c r="J120" s="117"/>
      <c r="K120" s="23"/>
    </row>
    <row r="121" spans="1:11" ht="15.75" thickBot="1" x14ac:dyDescent="0.3">
      <c r="A121" s="23"/>
      <c r="B121" s="253"/>
      <c r="C121" s="100" t="s">
        <v>68</v>
      </c>
      <c r="D121" s="110"/>
      <c r="E121" s="110"/>
      <c r="F121" s="111">
        <v>3</v>
      </c>
      <c r="G121" s="217" t="str">
        <f>IF(D114="","",IF(AND(D116="West river-non irrigated",D114&lt;=3),78,IF(AND(D116="West river-non irrigated",D114&gt;=4,D114&lt;=7),52,IF(AND(D116="West river-non irrigated",D114&gt;=8,D114&lt;=11),39,IF(AND(D116="West river-non irrigated",D114&gt;=12,D114&lt;=15),26,IF(AND(D116="West river-non irrigated",D114&gt;=16),10,IF(AND(D116="East river-non irrigated",D114&lt;=3),104,IF(AND(D116="East river-non irrigated",D114&gt;=4,D114&lt;=7),78,IF(AND(D116="East river-non irrigated",D114&gt;=8,D114&lt;=11),52,IF(AND(D116="East river-non irrigated",D114&gt;=12,D114&lt;=15),39,IF(AND(D116="East river-non irrigated",D114&gt;=16),10,IF(AND(D116="Irrigated",D114&lt;=3),156,IF(AND(D116="Irrigated",D114&gt;=4,D114&lt;=7),104,IF(AND(D116="Irrigated",D114&gt;=8,D114&lt;=11),78,IF(AND(D116="Irrigated",D114&gt;=12,D114&lt;=15),52,IF(AND(D116="Irrigated",D114&gt;=16),26))))))))))))))))</f>
        <v/>
      </c>
      <c r="H121" s="216" t="str">
        <f>IF(D115="","",IF(AND(D116="West river-non irrigated",D115&lt;=40),120,IF(AND(D116="West river-non irrigated",D115&gt;=41,D115&lt;=80),90,IF(AND(D116="West river-non irrigated",D115&gt;=81,D115&lt;=120),60,IF(AND(D116="West river-non irrigated",D115&gt;=121,D115&lt;=160),30,IF(AND(D116="West river-non irrigated",D115&gt;=161),0,IF(AND(D116="East river-non irrigated",D115&lt;=40),120,IF(AND(D116="East river-non irrigated",D115&gt;=41,D115&lt;=80),90,IF(AND(D116="East river-non irrigated",D115&gt;=81,D115&lt;=120),60,IF(AND(D116="East river-non irrigated",D115&gt;=121,D115&lt;=160),60,IF(AND(D116="East river-non irrigated",D115&gt;=161),60,IF(AND(D116="Irrigated",D115&lt;=40),120,IF(AND(D116="Irrigated",D115&gt;=41,D115&lt;=80),90,IF(AND(D116="Irrigated",D115&gt;=81,D115&lt;=120),60,IF(AND(D116="Irrigated",D115&gt;=121,D115&lt;=160),60,IF(AND(D116="Irrigated",D115&gt;=161),0))))))))))))))))</f>
        <v/>
      </c>
      <c r="I121" s="120"/>
      <c r="J121" s="301" t="s">
        <v>22</v>
      </c>
      <c r="K121" s="23"/>
    </row>
    <row r="122" spans="1:11" x14ac:dyDescent="0.25">
      <c r="A122" s="23"/>
      <c r="B122" s="254" t="s">
        <v>12</v>
      </c>
      <c r="C122" s="52" t="s">
        <v>52</v>
      </c>
      <c r="D122" s="96"/>
      <c r="E122" s="96">
        <v>5</v>
      </c>
      <c r="F122" s="109"/>
      <c r="G122" s="96"/>
      <c r="H122" s="96"/>
      <c r="I122" s="95"/>
      <c r="J122" s="302"/>
      <c r="K122" s="23"/>
    </row>
    <row r="123" spans="1:11" x14ac:dyDescent="0.25">
      <c r="A123" s="23"/>
      <c r="B123" s="255"/>
      <c r="C123" s="17" t="s">
        <v>99</v>
      </c>
      <c r="D123" s="198">
        <f>IF(J113="Immediately",0.95,IF(J113="One day later", 0.5,IF(J113="Two days later", 0.25,IF(J113="Three days later",0.15,IF(J113="Seven or more days later",0)))))</f>
        <v>0.25</v>
      </c>
      <c r="E123" s="198">
        <v>0.5</v>
      </c>
      <c r="F123" s="12"/>
      <c r="G123" s="192">
        <v>0.8</v>
      </c>
      <c r="H123" s="193">
        <v>0.9</v>
      </c>
      <c r="I123" s="193">
        <v>0.55000000000000004</v>
      </c>
      <c r="J123" s="302"/>
      <c r="K123" s="23"/>
    </row>
    <row r="124" spans="1:11" x14ac:dyDescent="0.25">
      <c r="A124" s="23"/>
      <c r="B124" s="255"/>
      <c r="C124" s="17" t="s">
        <v>118</v>
      </c>
      <c r="D124" s="188">
        <f>IF(J117="YES",D123*D122,IF(J117="NO",D123*E126))</f>
        <v>0.19</v>
      </c>
      <c r="E124" s="188">
        <f>IF(J117="YES",E123*E122,IF(J117="NO",E123*E127))</f>
        <v>6.48</v>
      </c>
      <c r="F124" s="188">
        <f>E124+D124</f>
        <v>6.6700000000000008</v>
      </c>
      <c r="G124" s="188">
        <f>IF(J117="YES",G123*G122,IF(J117="NO",G123*E128))</f>
        <v>4.88</v>
      </c>
      <c r="H124" s="194">
        <f>IF(J117="YES",H123*H122,IF(J117="NO",H123*E129))</f>
        <v>10.728</v>
      </c>
      <c r="I124" s="194">
        <f>IF(J117="YES",I123*I122,IF(J117="NO",I123*E130))</f>
        <v>1.298</v>
      </c>
      <c r="J124" s="302"/>
      <c r="K124" s="23"/>
    </row>
    <row r="125" spans="1:11" ht="15.75" thickBot="1" x14ac:dyDescent="0.3">
      <c r="A125" s="23"/>
      <c r="B125" s="255"/>
      <c r="C125" s="18" t="s">
        <v>119</v>
      </c>
      <c r="D125" s="218" t="s">
        <v>140</v>
      </c>
      <c r="E125" s="126"/>
      <c r="F125" s="203">
        <f>F129*F124</f>
        <v>0</v>
      </c>
      <c r="G125" s="203">
        <f>F129*G124</f>
        <v>0</v>
      </c>
      <c r="H125" s="204">
        <f>F129*H124</f>
        <v>0</v>
      </c>
      <c r="I125" s="204">
        <f>F129*I124</f>
        <v>0</v>
      </c>
      <c r="J125" s="303"/>
      <c r="K125" s="23"/>
    </row>
    <row r="126" spans="1:11" x14ac:dyDescent="0.25">
      <c r="A126" s="23"/>
      <c r="B126" s="255"/>
      <c r="C126" s="18" t="s">
        <v>120</v>
      </c>
      <c r="D126" s="219" t="s">
        <v>141</v>
      </c>
      <c r="E126" s="35">
        <v>0.76</v>
      </c>
      <c r="F126" s="205">
        <f>IF(I121&gt;0,(F125-F121)+(I127*0.21),F125-F121)</f>
        <v>-3</v>
      </c>
      <c r="G126" s="205">
        <f>IF(G121="",0,G125-G121)</f>
        <v>0</v>
      </c>
      <c r="H126" s="206">
        <f>IF(H121="",0,H125-H121)</f>
        <v>0</v>
      </c>
      <c r="I126" s="206">
        <f>I125-I121</f>
        <v>0</v>
      </c>
      <c r="J126" s="83"/>
      <c r="K126" s="23"/>
    </row>
    <row r="127" spans="1:11" ht="15.75" thickBot="1" x14ac:dyDescent="0.3">
      <c r="A127" s="23"/>
      <c r="B127" s="255"/>
      <c r="C127" s="61" t="s">
        <v>126</v>
      </c>
      <c r="D127" s="219" t="s">
        <v>142</v>
      </c>
      <c r="E127" s="56">
        <v>12.96</v>
      </c>
      <c r="F127" s="207">
        <f>IF(F126&gt;0,0,IF(AND(F126&gt;=-3,F126&lt;=-0.5),0,IF(F125&gt;=F121,0,IF(AND(F126&lt;0,F129=0),F138,IF(AND(J115="Urea",F126&lt;0),ABS(F126)*2.1739,IF(AND(J115="Anhydrous NH3",F126&lt;0),ABS(F126)*1.2195,IF(AND(J115="UAN-28%",F126&lt;0),ABS(F126)*3.5714,IF(F121="",0))))))))</f>
        <v>0</v>
      </c>
      <c r="G127" s="207">
        <f>IF(G126&gt;=0,0,IF(G126&lt;0,ABS(G126)*1.9231))</f>
        <v>0</v>
      </c>
      <c r="H127" s="207">
        <f>IF(H126=0,0,IF(H126&gt;0,0,IF(H126&lt;0,ABS(H126)*1.66667)))</f>
        <v>0</v>
      </c>
      <c r="I127" s="208">
        <f>IF(I126&gt;=0,0,IF(I126&lt;0,ABS(I126)*4.1667))</f>
        <v>0</v>
      </c>
      <c r="J127" s="117"/>
      <c r="K127" s="23"/>
    </row>
    <row r="128" spans="1:11" ht="15.75" thickBot="1" x14ac:dyDescent="0.3">
      <c r="A128" s="23"/>
      <c r="B128" s="255"/>
      <c r="C128" s="62" t="s">
        <v>55</v>
      </c>
      <c r="D128" s="76" t="s">
        <v>41</v>
      </c>
      <c r="E128" s="53">
        <v>6.1</v>
      </c>
      <c r="F128" s="209">
        <f>IF(F124=0,0,F121/F124)</f>
        <v>0.44977511244377805</v>
      </c>
      <c r="G128" s="142"/>
      <c r="H128" s="105" t="s">
        <v>39</v>
      </c>
      <c r="I128" s="136"/>
      <c r="J128" s="27" t="s">
        <v>69</v>
      </c>
      <c r="K128" s="23"/>
    </row>
    <row r="129" spans="1:15" x14ac:dyDescent="0.25">
      <c r="A129" s="23"/>
      <c r="B129" s="255"/>
      <c r="C129" s="18" t="s">
        <v>70</v>
      </c>
      <c r="D129" s="35" t="s">
        <v>7</v>
      </c>
      <c r="E129" s="35">
        <v>11.92</v>
      </c>
      <c r="F129" s="64"/>
      <c r="G129" s="102"/>
      <c r="H129" s="103"/>
      <c r="I129" s="137"/>
      <c r="J129" s="82"/>
      <c r="K129" s="23"/>
    </row>
    <row r="130" spans="1:15" x14ac:dyDescent="0.25">
      <c r="A130" s="23"/>
      <c r="B130" s="255"/>
      <c r="C130" s="17" t="s">
        <v>71</v>
      </c>
      <c r="D130" s="35" t="s">
        <v>112</v>
      </c>
      <c r="E130" s="35">
        <v>2.36</v>
      </c>
      <c r="F130" s="65"/>
      <c r="G130" s="85">
        <f>IF(OR(F129="", F129=0, F134="", F134=0),0,((F130+(F131*F132))/(F134/F129))+F133)</f>
        <v>0</v>
      </c>
      <c r="H130" s="89" t="s">
        <v>40</v>
      </c>
      <c r="I130" s="138"/>
      <c r="J130" s="83"/>
      <c r="K130" s="23"/>
    </row>
    <row r="131" spans="1:15" x14ac:dyDescent="0.25">
      <c r="A131" s="23"/>
      <c r="B131" s="255"/>
      <c r="C131" s="32" t="s">
        <v>72</v>
      </c>
      <c r="D131" s="123"/>
      <c r="E131" s="123"/>
      <c r="F131" s="65"/>
      <c r="G131" s="85">
        <f>IF(F129=0,0,G130+E146)</f>
        <v>0</v>
      </c>
      <c r="H131" s="89">
        <f>IF(J117="NO",1,0)</f>
        <v>1</v>
      </c>
      <c r="I131" s="138"/>
      <c r="J131" s="83"/>
      <c r="K131" s="23"/>
    </row>
    <row r="132" spans="1:15" x14ac:dyDescent="0.25">
      <c r="A132" s="23"/>
      <c r="B132" s="255"/>
      <c r="C132" s="32" t="s">
        <v>73</v>
      </c>
      <c r="D132" s="123"/>
      <c r="E132" s="123"/>
      <c r="F132" s="64"/>
      <c r="G132" s="101"/>
      <c r="H132" s="104"/>
      <c r="I132" s="138"/>
      <c r="J132" s="83"/>
      <c r="K132" s="23"/>
    </row>
    <row r="133" spans="1:15" x14ac:dyDescent="0.25">
      <c r="A133" s="23"/>
      <c r="B133" s="255"/>
      <c r="C133" s="18" t="s">
        <v>74</v>
      </c>
      <c r="D133" s="123"/>
      <c r="E133" s="123"/>
      <c r="F133" s="65"/>
      <c r="G133" s="101"/>
      <c r="H133" s="104"/>
      <c r="I133" s="138"/>
      <c r="J133" s="83"/>
      <c r="K133" s="23"/>
    </row>
    <row r="134" spans="1:15" x14ac:dyDescent="0.25">
      <c r="A134" s="23"/>
      <c r="B134" s="255"/>
      <c r="C134" s="18" t="s">
        <v>75</v>
      </c>
      <c r="D134" s="123"/>
      <c r="E134" s="123"/>
      <c r="F134" s="64"/>
      <c r="G134" s="101"/>
      <c r="H134" s="104"/>
      <c r="I134" s="138"/>
      <c r="J134" s="83"/>
      <c r="K134" s="23"/>
    </row>
    <row r="135" spans="1:15" x14ac:dyDescent="0.25">
      <c r="A135" s="23"/>
      <c r="B135" s="255"/>
      <c r="C135" s="18" t="s">
        <v>127</v>
      </c>
      <c r="D135" s="126"/>
      <c r="E135" s="126"/>
      <c r="F135" s="203">
        <f>F129*D113</f>
        <v>0</v>
      </c>
      <c r="G135" s="126"/>
      <c r="H135" s="126"/>
      <c r="I135" s="139"/>
      <c r="J135" s="83"/>
      <c r="K135" s="23"/>
    </row>
    <row r="136" spans="1:15" ht="15.75" thickBot="1" x14ac:dyDescent="0.3">
      <c r="A136" s="23"/>
      <c r="B136" s="256"/>
      <c r="C136" s="116" t="s">
        <v>128</v>
      </c>
      <c r="D136" s="127"/>
      <c r="E136" s="127"/>
      <c r="F136" s="210">
        <f>IF(F134="",0,F135/F134)</f>
        <v>0</v>
      </c>
      <c r="G136" s="127"/>
      <c r="H136" s="140"/>
      <c r="I136" s="141"/>
      <c r="J136" s="83"/>
      <c r="K136" s="23"/>
    </row>
    <row r="137" spans="1:15" x14ac:dyDescent="0.25">
      <c r="A137" s="23"/>
      <c r="B137" s="274" t="s">
        <v>28</v>
      </c>
      <c r="C137" s="20" t="s">
        <v>129</v>
      </c>
      <c r="D137" s="128"/>
      <c r="E137" s="128"/>
      <c r="F137" s="211">
        <f>F121</f>
        <v>3</v>
      </c>
      <c r="G137" s="212">
        <f>IF(G212="",0,G121)</f>
        <v>0</v>
      </c>
      <c r="H137" s="212">
        <f>IF(H121="",0,H121)</f>
        <v>0</v>
      </c>
      <c r="I137" s="213">
        <f>I121</f>
        <v>0</v>
      </c>
      <c r="J137" s="83"/>
      <c r="K137" s="23"/>
    </row>
    <row r="138" spans="1:15" x14ac:dyDescent="0.25">
      <c r="A138" s="23"/>
      <c r="B138" s="275"/>
      <c r="C138" s="293" t="s">
        <v>130</v>
      </c>
      <c r="D138" s="228">
        <f>(G138*0.11)+(I138*0.21)</f>
        <v>0</v>
      </c>
      <c r="E138" s="229">
        <f>((G138*0.11)+(I138*0.21))-F137</f>
        <v>-3</v>
      </c>
      <c r="F138" s="230">
        <f>IF(F121&lt;10,0,IF(J115="Urea",ABS(E138)*2.17391,IF(J115="Anhydrous NH3",ABS(E138)*1.2195,IF(J115="UAN-28%",ABS(E138)*3.5714))))</f>
        <v>0</v>
      </c>
      <c r="G138" s="231">
        <f>IF(D116="",0,G137*1.9231)</f>
        <v>0</v>
      </c>
      <c r="H138" s="232">
        <f>IF(D116="",0,H137*1.6667)</f>
        <v>0</v>
      </c>
      <c r="I138" s="233">
        <f>IF(I121="",0,I137*4.16667)</f>
        <v>0</v>
      </c>
      <c r="J138" s="83"/>
      <c r="K138" s="23"/>
    </row>
    <row r="139" spans="1:15" x14ac:dyDescent="0.25">
      <c r="A139" s="23"/>
      <c r="B139" s="275"/>
      <c r="C139" s="294"/>
      <c r="D139" s="228"/>
      <c r="E139" s="229"/>
      <c r="F139" s="230"/>
      <c r="G139" s="231"/>
      <c r="H139" s="232"/>
      <c r="I139" s="233"/>
      <c r="J139" s="83"/>
      <c r="K139" s="23"/>
    </row>
    <row r="140" spans="1:15" ht="15.75" thickBot="1" x14ac:dyDescent="0.3">
      <c r="A140" s="23"/>
      <c r="B140" s="276"/>
      <c r="C140" s="122" t="s">
        <v>123</v>
      </c>
      <c r="D140" s="143"/>
      <c r="E140" s="143"/>
      <c r="F140" s="144">
        <f>(ABS(E138)+D138-F137)</f>
        <v>0</v>
      </c>
      <c r="G140" s="144">
        <f>(G138/1.9231)-G137</f>
        <v>0</v>
      </c>
      <c r="H140" s="144">
        <f>(H138/1.6667)-H137</f>
        <v>0</v>
      </c>
      <c r="I140" s="160">
        <f>(I138/4.16667)-I137</f>
        <v>0</v>
      </c>
      <c r="J140" s="83"/>
      <c r="K140" s="23"/>
    </row>
    <row r="141" spans="1:15" x14ac:dyDescent="0.25">
      <c r="A141" s="23"/>
      <c r="B141" s="254" t="s">
        <v>29</v>
      </c>
      <c r="C141" s="20" t="s">
        <v>57</v>
      </c>
      <c r="D141" s="158" t="s">
        <v>12</v>
      </c>
      <c r="E141" s="159" t="s">
        <v>28</v>
      </c>
      <c r="F141" s="153"/>
      <c r="G141" s="154"/>
      <c r="H141" s="154"/>
      <c r="I141" s="154"/>
      <c r="J141" s="83"/>
      <c r="K141" s="23"/>
    </row>
    <row r="142" spans="1:15" x14ac:dyDescent="0.25">
      <c r="A142" s="23"/>
      <c r="B142" s="255"/>
      <c r="C142" s="17" t="s">
        <v>58</v>
      </c>
      <c r="D142" s="163">
        <f>IF(AND(J115="Urea", F127&gt;5),(F127*G113/2000)+(F125*H113),IF(J115="Urea",H113*F129*F124,IF(AND(J115="Anhydrous NH3", F127&gt;5),(F127*G114/2000)+(F125*H114),IF(J115="Anhydrous NH3",H114*F129*F124,IF(AND(J115="UAN-28%", F127&gt;5),(F127*G115/2000)+(F125*H115),IF(J115="UAN-28%",H115*F129*F124))))))</f>
        <v>0</v>
      </c>
      <c r="E142" s="174">
        <f>IF(J115="Urea",G113/2000*F138,IF(J115="Anhydrous NH3",G114/2000*F138,IF(J115="UAN-28%",G115/2000*F138)))</f>
        <v>0</v>
      </c>
      <c r="F142" s="161">
        <f>IF(F127=0,0,IF(J115="Urea",F127*I113, IF(J115="Anhydrous NH3",F127*I114,IF(J115="UAN-28%",F127*I115))))</f>
        <v>0</v>
      </c>
      <c r="G142" s="220" t="s">
        <v>138</v>
      </c>
      <c r="H142" s="220"/>
      <c r="I142" s="221"/>
      <c r="J142" s="83"/>
      <c r="K142" s="23"/>
      <c r="O142" s="66"/>
    </row>
    <row r="143" spans="1:15" x14ac:dyDescent="0.25">
      <c r="A143" s="23"/>
      <c r="B143" s="255"/>
      <c r="C143" s="17" t="s">
        <v>59</v>
      </c>
      <c r="D143" s="163">
        <f>IF(OR(F129=0,G126&gt;0),0,IF(G126&lt;0,ABS(G126)*H116,IF(G122="",0)))</f>
        <v>0</v>
      </c>
      <c r="E143" s="174">
        <f>IF(D116="",0,G138*G116/2000)</f>
        <v>0</v>
      </c>
      <c r="F143" s="222"/>
      <c r="G143" s="223"/>
      <c r="H143" s="223"/>
      <c r="I143" s="224"/>
      <c r="J143" s="83"/>
      <c r="K143" s="23"/>
    </row>
    <row r="144" spans="1:15" x14ac:dyDescent="0.25">
      <c r="A144" s="23"/>
      <c r="B144" s="255"/>
      <c r="C144" s="17" t="s">
        <v>60</v>
      </c>
      <c r="D144" s="163">
        <f>IF(OR(F129=0,H126&gt;0),0,IF(H126&lt;0,ABS(H126)*H117,IF(H122="",0)))</f>
        <v>0</v>
      </c>
      <c r="E144" s="174">
        <f>IF(OR(D116="",H121=0),0,H138*G117/2000)</f>
        <v>0</v>
      </c>
      <c r="F144" s="222"/>
      <c r="G144" s="223"/>
      <c r="H144" s="223"/>
      <c r="I144" s="224"/>
      <c r="J144" s="83"/>
      <c r="K144" s="23"/>
    </row>
    <row r="145" spans="1:11" x14ac:dyDescent="0.25">
      <c r="A145" s="23"/>
      <c r="B145" s="255"/>
      <c r="C145" s="17" t="s">
        <v>108</v>
      </c>
      <c r="D145" s="164">
        <f>IF(OR(I126&gt;0, I121=""),0,IF(I126&lt;0,ABS(I126)*H118))</f>
        <v>0</v>
      </c>
      <c r="E145" s="174">
        <f>IF(OR(I121=0, I121=""),0,I138*G118/2000)</f>
        <v>0</v>
      </c>
      <c r="F145" s="222"/>
      <c r="G145" s="223"/>
      <c r="H145" s="223"/>
      <c r="I145" s="224"/>
      <c r="J145" s="83"/>
      <c r="K145" s="23"/>
    </row>
    <row r="146" spans="1:11" x14ac:dyDescent="0.25">
      <c r="A146" s="23"/>
      <c r="B146" s="255"/>
      <c r="C146" s="17" t="s">
        <v>106</v>
      </c>
      <c r="D146" s="214">
        <f>IF(F129="",0,IF(AND(F129&gt;0, F127&gt;5),G131,IF(F129&gt;0,G130,IF(F129=0,0))))</f>
        <v>0</v>
      </c>
      <c r="E146" s="60">
        <v>6.5</v>
      </c>
      <c r="F146" s="222"/>
      <c r="G146" s="223"/>
      <c r="H146" s="223"/>
      <c r="I146" s="224"/>
      <c r="J146" s="83"/>
      <c r="K146" s="23"/>
    </row>
    <row r="147" spans="1:11" x14ac:dyDescent="0.25">
      <c r="A147" s="23"/>
      <c r="B147" s="255"/>
      <c r="C147" s="17" t="s">
        <v>107</v>
      </c>
      <c r="D147" s="166">
        <f>SUM(D142:D146)</f>
        <v>0</v>
      </c>
      <c r="E147" s="176">
        <f>IF(F121="",0,SUM(E142:E146))</f>
        <v>6.5</v>
      </c>
      <c r="F147" s="222"/>
      <c r="G147" s="223"/>
      <c r="H147" s="223"/>
      <c r="I147" s="224"/>
      <c r="J147" s="83"/>
      <c r="K147" s="23"/>
    </row>
    <row r="148" spans="1:11" ht="15.75" thickBot="1" x14ac:dyDescent="0.3">
      <c r="A148" s="23"/>
      <c r="B148" s="256"/>
      <c r="C148" s="19" t="s">
        <v>131</v>
      </c>
      <c r="D148" s="167">
        <f>D147*D113</f>
        <v>0</v>
      </c>
      <c r="E148" s="177">
        <f>E147*D113</f>
        <v>0</v>
      </c>
      <c r="F148" s="222"/>
      <c r="G148" s="223"/>
      <c r="H148" s="223"/>
      <c r="I148" s="224"/>
      <c r="J148" s="83"/>
      <c r="K148" s="23"/>
    </row>
    <row r="149" spans="1:11" x14ac:dyDescent="0.25">
      <c r="A149" s="23"/>
      <c r="B149" s="271" t="s">
        <v>30</v>
      </c>
      <c r="C149" s="21" t="s">
        <v>124</v>
      </c>
      <c r="D149" s="168"/>
      <c r="E149" s="178"/>
      <c r="F149" s="222"/>
      <c r="G149" s="223"/>
      <c r="H149" s="223"/>
      <c r="I149" s="224"/>
      <c r="J149" s="83"/>
      <c r="K149" s="23"/>
    </row>
    <row r="150" spans="1:11" x14ac:dyDescent="0.25">
      <c r="A150" s="23"/>
      <c r="B150" s="272"/>
      <c r="C150" s="17" t="s">
        <v>61</v>
      </c>
      <c r="D150" s="163">
        <f>IF(AND(J115="Urea", J117="NO"), H113*F129*E127*0.15,IF(J115="Urea",H113*F129*E122*0.15,IF(AND(J115="Anhydrous NH3", J117="NO"), H114*F129*E127*0.15,IF(J115="Anhydrous NH3",H114*F129*E122*0.15,IF(AND(J115="UAN-28%", J117="NO"), H115*F129*E127*0.15,IF(J115="UAN-28%",H115*F129*E122*0.15))))))</f>
        <v>0</v>
      </c>
      <c r="E150" s="174">
        <f>IF(J115="Urea",(F137-ABS(E138))*H113,IF(J115="Anhydrous NH3",(F137-ABS(E138))*H114,IF(J115="UAN-28%",(F137-ABS(E138))*H115)))</f>
        <v>0</v>
      </c>
      <c r="F150" s="222"/>
      <c r="G150" s="223"/>
      <c r="H150" s="223"/>
      <c r="I150" s="224"/>
      <c r="J150" s="83"/>
      <c r="K150" s="23"/>
    </row>
    <row r="151" spans="1:11" x14ac:dyDescent="0.25">
      <c r="A151" s="23"/>
      <c r="B151" s="272"/>
      <c r="C151" s="18" t="s">
        <v>76</v>
      </c>
      <c r="D151" s="170">
        <f>G125*H116</f>
        <v>0</v>
      </c>
      <c r="E151" s="179">
        <f>0</f>
        <v>0</v>
      </c>
      <c r="F151" s="222"/>
      <c r="G151" s="223"/>
      <c r="H151" s="223"/>
      <c r="I151" s="224"/>
      <c r="J151" s="83"/>
      <c r="K151" s="23"/>
    </row>
    <row r="152" spans="1:11" x14ac:dyDescent="0.25">
      <c r="A152" s="23"/>
      <c r="B152" s="272"/>
      <c r="C152" s="17" t="s">
        <v>77</v>
      </c>
      <c r="D152" s="170">
        <f>H125*H117</f>
        <v>0</v>
      </c>
      <c r="E152" s="180">
        <f>0</f>
        <v>0</v>
      </c>
      <c r="F152" s="222"/>
      <c r="G152" s="223"/>
      <c r="H152" s="223"/>
      <c r="I152" s="224"/>
      <c r="J152" s="83"/>
      <c r="K152" s="23"/>
    </row>
    <row r="153" spans="1:11" x14ac:dyDescent="0.25">
      <c r="A153" s="23"/>
      <c r="B153" s="272"/>
      <c r="C153" s="17" t="s">
        <v>110</v>
      </c>
      <c r="D153" s="170">
        <f>I125*H118</f>
        <v>0</v>
      </c>
      <c r="E153" s="180">
        <v>0</v>
      </c>
      <c r="F153" s="222"/>
      <c r="G153" s="223"/>
      <c r="H153" s="223"/>
      <c r="I153" s="224"/>
      <c r="J153" s="83"/>
      <c r="K153" s="23"/>
    </row>
    <row r="154" spans="1:11" x14ac:dyDescent="0.25">
      <c r="A154" s="23"/>
      <c r="B154" s="272"/>
      <c r="C154" s="17" t="s">
        <v>111</v>
      </c>
      <c r="D154" s="171">
        <f>SUM(D150:D153)</f>
        <v>0</v>
      </c>
      <c r="E154" s="215">
        <f>SUM(E150:E153)</f>
        <v>0</v>
      </c>
      <c r="F154" s="222"/>
      <c r="G154" s="223"/>
      <c r="H154" s="223"/>
      <c r="I154" s="224"/>
      <c r="J154" s="83"/>
      <c r="K154" s="23"/>
    </row>
    <row r="155" spans="1:11" ht="15.75" thickBot="1" x14ac:dyDescent="0.3">
      <c r="A155" s="23"/>
      <c r="B155" s="273"/>
      <c r="C155" s="19" t="s">
        <v>132</v>
      </c>
      <c r="D155" s="172">
        <f>D154*D113</f>
        <v>0</v>
      </c>
      <c r="E155" s="181">
        <f>E154*D113</f>
        <v>0</v>
      </c>
      <c r="F155" s="222"/>
      <c r="G155" s="223"/>
      <c r="H155" s="223"/>
      <c r="I155" s="224"/>
      <c r="J155" s="112" t="s">
        <v>100</v>
      </c>
      <c r="K155" s="23"/>
    </row>
    <row r="156" spans="1:11" ht="15" customHeight="1" x14ac:dyDescent="0.25">
      <c r="A156" s="24"/>
      <c r="B156" s="263" t="s">
        <v>97</v>
      </c>
      <c r="C156" s="266" t="s">
        <v>98</v>
      </c>
      <c r="D156" s="267">
        <f>IF(D113="",0,E147-D147+D154-E154)</f>
        <v>0</v>
      </c>
      <c r="E156" s="240"/>
      <c r="F156" s="222"/>
      <c r="G156" s="223"/>
      <c r="H156" s="223"/>
      <c r="I156" s="224"/>
      <c r="J156" s="83" t="s">
        <v>101</v>
      </c>
      <c r="K156" s="24"/>
    </row>
    <row r="157" spans="1:11" ht="15" customHeight="1" x14ac:dyDescent="0.25">
      <c r="A157" s="24"/>
      <c r="B157" s="264"/>
      <c r="C157" s="243"/>
      <c r="D157" s="268"/>
      <c r="E157" s="235"/>
      <c r="F157" s="222"/>
      <c r="G157" s="223"/>
      <c r="H157" s="223"/>
      <c r="I157" s="224"/>
      <c r="J157" s="83" t="s">
        <v>143</v>
      </c>
      <c r="K157" s="24"/>
    </row>
    <row r="158" spans="1:11" ht="15" customHeight="1" x14ac:dyDescent="0.25">
      <c r="A158" s="24"/>
      <c r="B158" s="264"/>
      <c r="C158" s="242" t="s">
        <v>96</v>
      </c>
      <c r="D158" s="269">
        <f>IF(D113="",0,D156-D152)</f>
        <v>0</v>
      </c>
      <c r="E158" s="234"/>
      <c r="F158" s="222"/>
      <c r="G158" s="223"/>
      <c r="H158" s="223"/>
      <c r="I158" s="224"/>
      <c r="J158" s="83" t="s">
        <v>89</v>
      </c>
      <c r="K158" s="24"/>
    </row>
    <row r="159" spans="1:11" x14ac:dyDescent="0.25">
      <c r="A159" s="24"/>
      <c r="B159" s="264"/>
      <c r="C159" s="243"/>
      <c r="D159" s="268"/>
      <c r="E159" s="235"/>
      <c r="F159" s="222"/>
      <c r="G159" s="223"/>
      <c r="H159" s="223"/>
      <c r="I159" s="224"/>
      <c r="J159" s="113" t="s">
        <v>102</v>
      </c>
      <c r="K159" s="24"/>
    </row>
    <row r="160" spans="1:11" ht="15" customHeight="1" x14ac:dyDescent="0.25">
      <c r="A160" s="24"/>
      <c r="B160" s="264"/>
      <c r="C160" s="242" t="s">
        <v>113</v>
      </c>
      <c r="D160" s="269">
        <f>IF(D148=0,0,D156*D113)</f>
        <v>0</v>
      </c>
      <c r="E160" s="236"/>
      <c r="F160" s="222"/>
      <c r="G160" s="223"/>
      <c r="H160" s="223"/>
      <c r="I160" s="224"/>
      <c r="J160" s="83" t="s">
        <v>103</v>
      </c>
      <c r="K160" s="24"/>
    </row>
    <row r="161" spans="1:11" x14ac:dyDescent="0.25">
      <c r="A161" s="24"/>
      <c r="B161" s="264"/>
      <c r="C161" s="243"/>
      <c r="D161" s="268"/>
      <c r="E161" s="237"/>
      <c r="F161" s="222"/>
      <c r="G161" s="223"/>
      <c r="H161" s="223"/>
      <c r="I161" s="224"/>
      <c r="J161" s="114"/>
      <c r="K161" s="24"/>
    </row>
    <row r="162" spans="1:11" x14ac:dyDescent="0.25">
      <c r="A162" s="24"/>
      <c r="B162" s="264"/>
      <c r="C162" s="242" t="s">
        <v>114</v>
      </c>
      <c r="D162" s="269">
        <f>IF(D147=0,0,D158*D113)</f>
        <v>0</v>
      </c>
      <c r="E162" s="238"/>
      <c r="F162" s="222"/>
      <c r="G162" s="223"/>
      <c r="H162" s="223"/>
      <c r="I162" s="224"/>
      <c r="J162" s="83"/>
      <c r="K162" s="24"/>
    </row>
    <row r="163" spans="1:11" ht="15.75" thickBot="1" x14ac:dyDescent="0.3">
      <c r="A163" s="24"/>
      <c r="B163" s="265"/>
      <c r="C163" s="245"/>
      <c r="D163" s="270"/>
      <c r="E163" s="239"/>
      <c r="F163" s="225"/>
      <c r="G163" s="226"/>
      <c r="H163" s="226"/>
      <c r="I163" s="227"/>
      <c r="J163" s="115" t="s">
        <v>144</v>
      </c>
      <c r="K163" s="24"/>
    </row>
    <row r="164" spans="1:11" x14ac:dyDescent="0.25">
      <c r="A164" s="24"/>
      <c r="B164" s="24"/>
      <c r="C164" s="24"/>
      <c r="D164" s="24"/>
      <c r="E164" s="24"/>
      <c r="F164" s="24"/>
      <c r="G164" s="24"/>
      <c r="H164" s="24"/>
      <c r="I164" s="24"/>
      <c r="J164" s="24"/>
      <c r="K164" s="24"/>
    </row>
  </sheetData>
  <sheetProtection algorithmName="SHA-512" hashValue="73LiLTDAkKKvDbQaxDBNdLWmQQyna/ajcsuu26fRRlVAlz6x92ShFHDjK64mjUnh0nnbeiIXJTtCylOUw1S9fw==" saltValue="jovZi078HJT2X+VAAM9+vw==" spinCount="100000" sheet="1" objects="1" scenarios="1"/>
  <mergeCells count="88">
    <mergeCell ref="C1:E1"/>
    <mergeCell ref="C7:D7"/>
    <mergeCell ref="C9:D9"/>
    <mergeCell ref="C8:D8"/>
    <mergeCell ref="C32:E32"/>
    <mergeCell ref="C17:E17"/>
    <mergeCell ref="C5:E6"/>
    <mergeCell ref="E14:H14"/>
    <mergeCell ref="E15:G15"/>
    <mergeCell ref="B2:I3"/>
    <mergeCell ref="B4:I4"/>
    <mergeCell ref="J31:J32"/>
    <mergeCell ref="J43:J47"/>
    <mergeCell ref="H41:H42"/>
    <mergeCell ref="I41:I42"/>
    <mergeCell ref="D41:F41"/>
    <mergeCell ref="G41:G42"/>
    <mergeCell ref="F32:I32"/>
    <mergeCell ref="B31:I31"/>
    <mergeCell ref="B32:B40"/>
    <mergeCell ref="C38:E40"/>
    <mergeCell ref="D37:E37"/>
    <mergeCell ref="J121:J125"/>
    <mergeCell ref="J110:J111"/>
    <mergeCell ref="I59:I60"/>
    <mergeCell ref="F62:I83"/>
    <mergeCell ref="D119:F119"/>
    <mergeCell ref="G119:G120"/>
    <mergeCell ref="H119:H120"/>
    <mergeCell ref="F59:F60"/>
    <mergeCell ref="G59:G60"/>
    <mergeCell ref="H59:H60"/>
    <mergeCell ref="E59:E60"/>
    <mergeCell ref="D59:D60"/>
    <mergeCell ref="D76:D77"/>
    <mergeCell ref="D78:D79"/>
    <mergeCell ref="D80:D81"/>
    <mergeCell ref="D82:D83"/>
    <mergeCell ref="B149:B155"/>
    <mergeCell ref="B141:B148"/>
    <mergeCell ref="B137:B140"/>
    <mergeCell ref="B41:B43"/>
    <mergeCell ref="C41:C42"/>
    <mergeCell ref="B58:B61"/>
    <mergeCell ref="B62:B69"/>
    <mergeCell ref="B76:B83"/>
    <mergeCell ref="B70:B75"/>
    <mergeCell ref="C119:C120"/>
    <mergeCell ref="B44:B57"/>
    <mergeCell ref="C138:C139"/>
    <mergeCell ref="B110:I110"/>
    <mergeCell ref="F111:I111"/>
    <mergeCell ref="C76:C77"/>
    <mergeCell ref="C78:C79"/>
    <mergeCell ref="B156:B163"/>
    <mergeCell ref="C156:C157"/>
    <mergeCell ref="D156:D157"/>
    <mergeCell ref="C158:C159"/>
    <mergeCell ref="D158:D159"/>
    <mergeCell ref="C160:C161"/>
    <mergeCell ref="C162:C163"/>
    <mergeCell ref="D160:D161"/>
    <mergeCell ref="D162:D163"/>
    <mergeCell ref="B119:B121"/>
    <mergeCell ref="B122:B136"/>
    <mergeCell ref="I119:I120"/>
    <mergeCell ref="B111:B118"/>
    <mergeCell ref="C111:E111"/>
    <mergeCell ref="D116:E116"/>
    <mergeCell ref="C59:C60"/>
    <mergeCell ref="C80:C81"/>
    <mergeCell ref="C82:C83"/>
    <mergeCell ref="E76:E77"/>
    <mergeCell ref="E78:E79"/>
    <mergeCell ref="E80:E81"/>
    <mergeCell ref="E82:E83"/>
    <mergeCell ref="G142:I142"/>
    <mergeCell ref="F143:I163"/>
    <mergeCell ref="D138:D139"/>
    <mergeCell ref="E138:E139"/>
    <mergeCell ref="F138:F139"/>
    <mergeCell ref="G138:G139"/>
    <mergeCell ref="H138:H139"/>
    <mergeCell ref="I138:I139"/>
    <mergeCell ref="E158:E159"/>
    <mergeCell ref="E160:E161"/>
    <mergeCell ref="E162:E163"/>
    <mergeCell ref="E156:E157"/>
  </mergeCells>
  <conditionalFormatting sqref="D80 D82">
    <cfRule type="cellIs" dxfId="15" priority="29" operator="greaterThan">
      <formula>0.01</formula>
    </cfRule>
    <cfRule type="cellIs" dxfId="14" priority="30" operator="lessThan">
      <formula>0.01</formula>
    </cfRule>
  </conditionalFormatting>
  <conditionalFormatting sqref="E85">
    <cfRule type="cellIs" dxfId="13" priority="25" operator="lessThan">
      <formula>0</formula>
    </cfRule>
    <cfRule type="cellIs" dxfId="12" priority="26" operator="greaterThan">
      <formula>0</formula>
    </cfRule>
  </conditionalFormatting>
  <conditionalFormatting sqref="E160 E162">
    <cfRule type="cellIs" dxfId="11" priority="21" operator="lessThan">
      <formula>0</formula>
    </cfRule>
    <cfRule type="cellIs" dxfId="10" priority="22" operator="greaterThan">
      <formula>0</formula>
    </cfRule>
  </conditionalFormatting>
  <conditionalFormatting sqref="D160 D162">
    <cfRule type="cellIs" dxfId="9" priority="23" operator="lessThan">
      <formula>0.01</formula>
    </cfRule>
    <cfRule type="cellIs" dxfId="8" priority="24" operator="greaterThan">
      <formula>0.01</formula>
    </cfRule>
  </conditionalFormatting>
  <conditionalFormatting sqref="D76 D78">
    <cfRule type="cellIs" dxfId="7" priority="19" operator="greaterThan">
      <formula>0.01</formula>
    </cfRule>
    <cfRule type="cellIs" dxfId="6" priority="20" operator="lessThan">
      <formula>0.01</formula>
    </cfRule>
  </conditionalFormatting>
  <conditionalFormatting sqref="D156 D158">
    <cfRule type="cellIs" dxfId="5" priority="17" operator="lessThan">
      <formula>0.01</formula>
    </cfRule>
    <cfRule type="cellIs" dxfId="4" priority="18" operator="greaterThan">
      <formula>0.01</formula>
    </cfRule>
  </conditionalFormatting>
  <conditionalFormatting sqref="D44:E44 G44:H44 I44">
    <cfRule type="expression" dxfId="3" priority="32">
      <formula>$H$53&gt;0</formula>
    </cfRule>
  </conditionalFormatting>
  <conditionalFormatting sqref="D122:E122">
    <cfRule type="expression" dxfId="2" priority="5">
      <formula>$H$131&gt;0</formula>
    </cfRule>
  </conditionalFormatting>
  <conditionalFormatting sqref="G122:I122">
    <cfRule type="expression" dxfId="1" priority="4">
      <formula>$H$131&gt;0</formula>
    </cfRule>
  </conditionalFormatting>
  <conditionalFormatting sqref="F142:I142">
    <cfRule type="expression" dxfId="0" priority="1">
      <formula>$F$127&gt;0</formula>
    </cfRule>
  </conditionalFormatting>
  <dataValidations count="5">
    <dataValidation type="list" allowBlank="1" showInputMessage="1" showErrorMessage="1" sqref="J36 J115" xr:uid="{00000000-0002-0000-0000-000000000000}">
      <formula1>$F$34:$F$36</formula1>
    </dataValidation>
    <dataValidation type="list" allowBlank="1" showInputMessage="1" showErrorMessage="1" sqref="J38" xr:uid="{00000000-0002-0000-0000-000001000000}">
      <formula1>$F$37:$F$38</formula1>
    </dataValidation>
    <dataValidation type="list" allowBlank="1" showInputMessage="1" showErrorMessage="1" sqref="J117" xr:uid="{00000000-0002-0000-0000-000002000000}">
      <formula1>$H$128:$H$130</formula1>
    </dataValidation>
    <dataValidation type="list" allowBlank="1" showInputMessage="1" showErrorMessage="1" sqref="J40" xr:uid="{00000000-0002-0000-0000-000003000000}">
      <formula1>$H$50:$H$52</formula1>
    </dataValidation>
    <dataValidation type="list" allowBlank="1" showInputMessage="1" showErrorMessage="1" sqref="D116:E116 D37:E37" xr:uid="{00000000-0002-0000-0000-000004000000}">
      <formula1>$D$125:$D$127</formula1>
    </dataValidation>
  </dataValidations>
  <hyperlinks>
    <hyperlink ref="J43:J46" r:id="rId1" display="Click here to calculate the Corn Nitrogen Recommendation for your operation (North Dakota Corn Nitrogen Calculator). You will need to be connected to the internet to complete this step." xr:uid="{00000000-0004-0000-0000-000000000000}"/>
    <hyperlink ref="J121:J125" r:id="rId2" display="Click here to calculate the Corn Nitrogen Recommendation for your operation (North Dakota Corn Nitrogen Calculator). You will need to be connected to the internet to complete this step." xr:uid="{00000000-0004-0000-0000-000001000000}"/>
    <hyperlink ref="C7" location="Calculator!A55" display="Nitrogen Crop Requeriments" xr:uid="{00000000-0004-0000-0000-000002000000}"/>
    <hyperlink ref="C9" location="Calculator!A125" display="Phosphorus Crop Requeriments" xr:uid="{00000000-0004-0000-0000-000003000000}"/>
    <hyperlink ref="C7:D7" location="Nitrogen" display="Nitrogen Crop Requeriments" xr:uid="{00000000-0004-0000-0000-000004000000}"/>
    <hyperlink ref="C9:D9" location="Phosphorus" display="Phosphorus Crop Requeriments" xr:uid="{00000000-0004-0000-0000-000005000000}"/>
    <hyperlink ref="J128" location="Calculator!A1" display="BACK TO THE TOP" xr:uid="{00000000-0004-0000-0000-000006000000}"/>
    <hyperlink ref="J49" location="Calculator!A1" display="BACK TO THE TOP" xr:uid="{00000000-0004-0000-0000-000007000000}"/>
    <hyperlink ref="C16" location="Documentation!A1" display="To learn more about this spreadsheet click here." xr:uid="{00000000-0004-0000-0000-000008000000}"/>
    <hyperlink ref="C17:E17" r:id="rId3" display="For comments, questions and/or suggestions contact the developer clicking here." xr:uid="{00000000-0004-0000-0000-000009000000}"/>
    <hyperlink ref="J79" r:id="rId4" display="paulo.flores@ndsu.edu" xr:uid="{00000000-0004-0000-0000-00000A000000}"/>
    <hyperlink ref="J159" r:id="rId5" display="paulo.flores@ndsu.edu" xr:uid="{00000000-0004-0000-0000-00000B000000}"/>
  </hyperlinks>
  <pageMargins left="0.7" right="0.7" top="0.75" bottom="0.75" header="0.3" footer="0.3"/>
  <pageSetup scale="20"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1062" r:id="rId9" name="Button 38">
              <controlPr defaultSize="0" print="0" autoFill="0" autoPict="0" macro="[0]!Print_P">
                <anchor moveWithCells="1" sizeWithCells="1">
                  <from>
                    <xdr:col>5</xdr:col>
                    <xdr:colOff>438150</xdr:colOff>
                    <xdr:row>68</xdr:row>
                    <xdr:rowOff>161925</xdr:rowOff>
                  </from>
                  <to>
                    <xdr:col>8</xdr:col>
                    <xdr:colOff>542925</xdr:colOff>
                    <xdr:row>72</xdr:row>
                    <xdr:rowOff>19050</xdr:rowOff>
                  </to>
                </anchor>
              </controlPr>
            </control>
          </mc:Choice>
        </mc:AlternateContent>
        <mc:AlternateContent xmlns:mc="http://schemas.openxmlformats.org/markup-compatibility/2006">
          <mc:Choice Requires="x14">
            <control shapeId="1063" r:id="rId10" name="Button 39">
              <controlPr defaultSize="0" print="0" autoFill="0" autoPict="0" macro="[0]!Print_N2">
                <anchor moveWithCells="1" sizeWithCells="1">
                  <from>
                    <xdr:col>5</xdr:col>
                    <xdr:colOff>400050</xdr:colOff>
                    <xdr:row>148</xdr:row>
                    <xdr:rowOff>76200</xdr:rowOff>
                  </from>
                  <to>
                    <xdr:col>8</xdr:col>
                    <xdr:colOff>581025</xdr:colOff>
                    <xdr:row>151</xdr:row>
                    <xdr:rowOff>152400</xdr:rowOff>
                  </to>
                </anchor>
              </controlPr>
            </control>
          </mc:Choice>
        </mc:AlternateContent>
      </controls>
    </mc:Choice>
  </mc:AlternateContent>
  <webPublishItems count="1">
    <webPublishItem id="21409" divId="Manure Corn N and P Calculator ND_21409" sourceType="range" sourceRef="A109:K164" destinationFile="C:\Users\paulo.flores\Desktop\Manure Corn N and P Calculator ND.htm" title="Test"/>
  </webPublishItem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Tables!$E$3:$E$7</xm:f>
          </x14:formula1>
          <xm:sqref>J34 J113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68"/>
  <sheetViews>
    <sheetView showGridLines="0" showRowColHeaders="0" zoomScale="98" zoomScaleNormal="98" workbookViewId="0">
      <selection activeCell="B2" sqref="B2:B67"/>
    </sheetView>
  </sheetViews>
  <sheetFormatPr defaultRowHeight="15" x14ac:dyDescent="0.25"/>
  <cols>
    <col min="1" max="1" width="2.7109375" customWidth="1"/>
    <col min="2" max="2" width="182.7109375" customWidth="1"/>
    <col min="3" max="3" width="2.5703125" customWidth="1"/>
  </cols>
  <sheetData>
    <row r="1" spans="1:3" x14ac:dyDescent="0.25">
      <c r="A1" s="33"/>
      <c r="B1" s="33"/>
      <c r="C1" s="33"/>
    </row>
    <row r="2" spans="1:3" x14ac:dyDescent="0.25">
      <c r="A2" s="33"/>
      <c r="B2" s="350" t="s">
        <v>145</v>
      </c>
      <c r="C2" s="33"/>
    </row>
    <row r="3" spans="1:3" x14ac:dyDescent="0.25">
      <c r="A3" s="33"/>
      <c r="B3" s="351"/>
      <c r="C3" s="33"/>
    </row>
    <row r="4" spans="1:3" x14ac:dyDescent="0.25">
      <c r="A4" s="33"/>
      <c r="B4" s="351"/>
      <c r="C4" s="33"/>
    </row>
    <row r="5" spans="1:3" x14ac:dyDescent="0.25">
      <c r="A5" s="33"/>
      <c r="B5" s="351"/>
      <c r="C5" s="33"/>
    </row>
    <row r="6" spans="1:3" x14ac:dyDescent="0.25">
      <c r="A6" s="33"/>
      <c r="B6" s="351"/>
      <c r="C6" s="33"/>
    </row>
    <row r="7" spans="1:3" x14ac:dyDescent="0.25">
      <c r="A7" s="33"/>
      <c r="B7" s="351"/>
      <c r="C7" s="33"/>
    </row>
    <row r="8" spans="1:3" x14ac:dyDescent="0.25">
      <c r="A8" s="33"/>
      <c r="B8" s="351"/>
      <c r="C8" s="33"/>
    </row>
    <row r="9" spans="1:3" x14ac:dyDescent="0.25">
      <c r="A9" s="33"/>
      <c r="B9" s="351"/>
      <c r="C9" s="33"/>
    </row>
    <row r="10" spans="1:3" x14ac:dyDescent="0.25">
      <c r="A10" s="33"/>
      <c r="B10" s="351"/>
      <c r="C10" s="33"/>
    </row>
    <row r="11" spans="1:3" x14ac:dyDescent="0.25">
      <c r="A11" s="33"/>
      <c r="B11" s="351"/>
      <c r="C11" s="33"/>
    </row>
    <row r="12" spans="1:3" x14ac:dyDescent="0.25">
      <c r="A12" s="33"/>
      <c r="B12" s="351"/>
      <c r="C12" s="33"/>
    </row>
    <row r="13" spans="1:3" x14ac:dyDescent="0.25">
      <c r="A13" s="33"/>
      <c r="B13" s="351"/>
      <c r="C13" s="33"/>
    </row>
    <row r="14" spans="1:3" x14ac:dyDescent="0.25">
      <c r="A14" s="33"/>
      <c r="B14" s="351"/>
      <c r="C14" s="33"/>
    </row>
    <row r="15" spans="1:3" x14ac:dyDescent="0.25">
      <c r="A15" s="33"/>
      <c r="B15" s="351"/>
      <c r="C15" s="33"/>
    </row>
    <row r="16" spans="1:3" x14ac:dyDescent="0.25">
      <c r="A16" s="33"/>
      <c r="B16" s="351"/>
      <c r="C16" s="33"/>
    </row>
    <row r="17" spans="1:3" x14ac:dyDescent="0.25">
      <c r="A17" s="33"/>
      <c r="B17" s="351"/>
      <c r="C17" s="33"/>
    </row>
    <row r="18" spans="1:3" x14ac:dyDescent="0.25">
      <c r="A18" s="33"/>
      <c r="B18" s="351"/>
      <c r="C18" s="33"/>
    </row>
    <row r="19" spans="1:3" x14ac:dyDescent="0.25">
      <c r="A19" s="33"/>
      <c r="B19" s="351"/>
      <c r="C19" s="33"/>
    </row>
    <row r="20" spans="1:3" x14ac:dyDescent="0.25">
      <c r="A20" s="33"/>
      <c r="B20" s="351"/>
      <c r="C20" s="33"/>
    </row>
    <row r="21" spans="1:3" x14ac:dyDescent="0.25">
      <c r="A21" s="33"/>
      <c r="B21" s="351"/>
      <c r="C21" s="33"/>
    </row>
    <row r="22" spans="1:3" x14ac:dyDescent="0.25">
      <c r="A22" s="33"/>
      <c r="B22" s="351"/>
      <c r="C22" s="33"/>
    </row>
    <row r="23" spans="1:3" x14ac:dyDescent="0.25">
      <c r="A23" s="33"/>
      <c r="B23" s="351"/>
      <c r="C23" s="33"/>
    </row>
    <row r="24" spans="1:3" x14ac:dyDescent="0.25">
      <c r="A24" s="33"/>
      <c r="B24" s="351"/>
      <c r="C24" s="33"/>
    </row>
    <row r="25" spans="1:3" x14ac:dyDescent="0.25">
      <c r="A25" s="33"/>
      <c r="B25" s="351"/>
      <c r="C25" s="33"/>
    </row>
    <row r="26" spans="1:3" x14ac:dyDescent="0.25">
      <c r="A26" s="33"/>
      <c r="B26" s="351"/>
      <c r="C26" s="33"/>
    </row>
    <row r="27" spans="1:3" x14ac:dyDescent="0.25">
      <c r="A27" s="33"/>
      <c r="B27" s="351"/>
      <c r="C27" s="33"/>
    </row>
    <row r="28" spans="1:3" x14ac:dyDescent="0.25">
      <c r="A28" s="33"/>
      <c r="B28" s="351"/>
      <c r="C28" s="33"/>
    </row>
    <row r="29" spans="1:3" x14ac:dyDescent="0.25">
      <c r="A29" s="33"/>
      <c r="B29" s="351"/>
      <c r="C29" s="33"/>
    </row>
    <row r="30" spans="1:3" x14ac:dyDescent="0.25">
      <c r="A30" s="33"/>
      <c r="B30" s="351"/>
      <c r="C30" s="33"/>
    </row>
    <row r="31" spans="1:3" x14ac:dyDescent="0.25">
      <c r="A31" s="33"/>
      <c r="B31" s="351"/>
      <c r="C31" s="33"/>
    </row>
    <row r="32" spans="1:3" x14ac:dyDescent="0.25">
      <c r="A32" s="33"/>
      <c r="B32" s="351"/>
      <c r="C32" s="33"/>
    </row>
    <row r="33" spans="1:3" x14ac:dyDescent="0.25">
      <c r="A33" s="33"/>
      <c r="B33" s="351"/>
      <c r="C33" s="33"/>
    </row>
    <row r="34" spans="1:3" x14ac:dyDescent="0.25">
      <c r="A34" s="33"/>
      <c r="B34" s="351"/>
      <c r="C34" s="33"/>
    </row>
    <row r="35" spans="1:3" x14ac:dyDescent="0.25">
      <c r="A35" s="33"/>
      <c r="B35" s="351"/>
      <c r="C35" s="33"/>
    </row>
    <row r="36" spans="1:3" x14ac:dyDescent="0.25">
      <c r="A36" s="33"/>
      <c r="B36" s="351"/>
      <c r="C36" s="33"/>
    </row>
    <row r="37" spans="1:3" x14ac:dyDescent="0.25">
      <c r="A37" s="33"/>
      <c r="B37" s="351"/>
      <c r="C37" s="33"/>
    </row>
    <row r="38" spans="1:3" x14ac:dyDescent="0.25">
      <c r="A38" s="33"/>
      <c r="B38" s="351"/>
      <c r="C38" s="33"/>
    </row>
    <row r="39" spans="1:3" x14ac:dyDescent="0.25">
      <c r="A39" s="33"/>
      <c r="B39" s="351"/>
      <c r="C39" s="33"/>
    </row>
    <row r="40" spans="1:3" x14ac:dyDescent="0.25">
      <c r="A40" s="33"/>
      <c r="B40" s="351"/>
      <c r="C40" s="33"/>
    </row>
    <row r="41" spans="1:3" x14ac:dyDescent="0.25">
      <c r="A41" s="33"/>
      <c r="B41" s="351"/>
      <c r="C41" s="33"/>
    </row>
    <row r="42" spans="1:3" x14ac:dyDescent="0.25">
      <c r="A42" s="33"/>
      <c r="B42" s="351"/>
      <c r="C42" s="33"/>
    </row>
    <row r="43" spans="1:3" x14ac:dyDescent="0.25">
      <c r="A43" s="33"/>
      <c r="B43" s="351"/>
      <c r="C43" s="33"/>
    </row>
    <row r="44" spans="1:3" x14ac:dyDescent="0.25">
      <c r="A44" s="33"/>
      <c r="B44" s="351"/>
      <c r="C44" s="33"/>
    </row>
    <row r="45" spans="1:3" x14ac:dyDescent="0.25">
      <c r="A45" s="33"/>
      <c r="B45" s="351"/>
      <c r="C45" s="33"/>
    </row>
    <row r="46" spans="1:3" x14ac:dyDescent="0.25">
      <c r="A46" s="33"/>
      <c r="B46" s="351"/>
      <c r="C46" s="33"/>
    </row>
    <row r="47" spans="1:3" x14ac:dyDescent="0.25">
      <c r="A47" s="33"/>
      <c r="B47" s="351"/>
      <c r="C47" s="33"/>
    </row>
    <row r="48" spans="1:3" x14ac:dyDescent="0.25">
      <c r="A48" s="33"/>
      <c r="B48" s="351"/>
      <c r="C48" s="33"/>
    </row>
    <row r="49" spans="1:3" x14ac:dyDescent="0.25">
      <c r="A49" s="33"/>
      <c r="B49" s="351"/>
      <c r="C49" s="33"/>
    </row>
    <row r="50" spans="1:3" x14ac:dyDescent="0.25">
      <c r="A50" s="33"/>
      <c r="B50" s="351"/>
      <c r="C50" s="33"/>
    </row>
    <row r="51" spans="1:3" x14ac:dyDescent="0.25">
      <c r="A51" s="33"/>
      <c r="B51" s="351"/>
      <c r="C51" s="33"/>
    </row>
    <row r="52" spans="1:3" x14ac:dyDescent="0.25">
      <c r="A52" s="33"/>
      <c r="B52" s="351"/>
      <c r="C52" s="33"/>
    </row>
    <row r="53" spans="1:3" x14ac:dyDescent="0.25">
      <c r="A53" s="33"/>
      <c r="B53" s="351"/>
      <c r="C53" s="33"/>
    </row>
    <row r="54" spans="1:3" x14ac:dyDescent="0.25">
      <c r="A54" s="33"/>
      <c r="B54" s="351"/>
      <c r="C54" s="33"/>
    </row>
    <row r="55" spans="1:3" x14ac:dyDescent="0.25">
      <c r="A55" s="33"/>
      <c r="B55" s="351"/>
      <c r="C55" s="33"/>
    </row>
    <row r="56" spans="1:3" x14ac:dyDescent="0.25">
      <c r="A56" s="33"/>
      <c r="B56" s="351"/>
      <c r="C56" s="33"/>
    </row>
    <row r="57" spans="1:3" x14ac:dyDescent="0.25">
      <c r="A57" s="33"/>
      <c r="B57" s="351"/>
      <c r="C57" s="33"/>
    </row>
    <row r="58" spans="1:3" x14ac:dyDescent="0.25">
      <c r="A58" s="33"/>
      <c r="B58" s="351"/>
      <c r="C58" s="33"/>
    </row>
    <row r="59" spans="1:3" x14ac:dyDescent="0.25">
      <c r="A59" s="33"/>
      <c r="B59" s="351"/>
      <c r="C59" s="33"/>
    </row>
    <row r="60" spans="1:3" x14ac:dyDescent="0.25">
      <c r="A60" s="33"/>
      <c r="B60" s="351"/>
      <c r="C60" s="33"/>
    </row>
    <row r="61" spans="1:3" x14ac:dyDescent="0.25">
      <c r="A61" s="33"/>
      <c r="B61" s="351"/>
      <c r="C61" s="33"/>
    </row>
    <row r="62" spans="1:3" x14ac:dyDescent="0.25">
      <c r="A62" s="33"/>
      <c r="B62" s="351"/>
      <c r="C62" s="33"/>
    </row>
    <row r="63" spans="1:3" x14ac:dyDescent="0.25">
      <c r="A63" s="33"/>
      <c r="B63" s="351"/>
      <c r="C63" s="33"/>
    </row>
    <row r="64" spans="1:3" x14ac:dyDescent="0.25">
      <c r="A64" s="33"/>
      <c r="B64" s="351"/>
      <c r="C64" s="33"/>
    </row>
    <row r="65" spans="1:3" x14ac:dyDescent="0.25">
      <c r="A65" s="33"/>
      <c r="B65" s="351"/>
      <c r="C65" s="33"/>
    </row>
    <row r="66" spans="1:3" x14ac:dyDescent="0.25">
      <c r="A66" s="33"/>
      <c r="B66" s="351"/>
      <c r="C66" s="33"/>
    </row>
    <row r="67" spans="1:3" x14ac:dyDescent="0.25">
      <c r="A67" s="33"/>
      <c r="B67" s="351"/>
      <c r="C67" s="33"/>
    </row>
    <row r="68" spans="1:3" x14ac:dyDescent="0.25">
      <c r="A68" s="33"/>
      <c r="B68" s="33"/>
      <c r="C68" s="33"/>
    </row>
  </sheetData>
  <mergeCells count="1">
    <mergeCell ref="B2:B6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Back_to_Calculator">
                <anchor moveWithCells="1">
                  <from>
                    <xdr:col>1</xdr:col>
                    <xdr:colOff>10210800</xdr:colOff>
                    <xdr:row>1</xdr:row>
                    <xdr:rowOff>19050</xdr:rowOff>
                  </from>
                  <to>
                    <xdr:col>1</xdr:col>
                    <xdr:colOff>12163425</xdr:colOff>
                    <xdr:row>2</xdr:row>
                    <xdr:rowOff>9525</xdr:rowOff>
                  </to>
                </anchor>
              </controlPr>
            </control>
          </mc:Choice>
        </mc:AlternateContent>
        <mc:AlternateContent xmlns:mc="http://schemas.openxmlformats.org/markup-compatibility/2006">
          <mc:Choice Requires="x14">
            <control shapeId="3074" r:id="rId5" name="Button 2">
              <controlPr defaultSize="0" print="0" autoFill="0" autoPict="0" macro="[0]!Back_to_Calculator">
                <anchor moveWithCells="1">
                  <from>
                    <xdr:col>1</xdr:col>
                    <xdr:colOff>10172700</xdr:colOff>
                    <xdr:row>65</xdr:row>
                    <xdr:rowOff>152400</xdr:rowOff>
                  </from>
                  <to>
                    <xdr:col>2</xdr:col>
                    <xdr:colOff>0</xdr:colOff>
                    <xdr:row>66</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6"/>
  <sheetViews>
    <sheetView workbookViewId="0">
      <selection activeCell="F5" sqref="F5"/>
    </sheetView>
  </sheetViews>
  <sheetFormatPr defaultRowHeight="15" x14ac:dyDescent="0.25"/>
  <cols>
    <col min="1" max="1" width="44.42578125" customWidth="1"/>
    <col min="2" max="2" width="13.7109375" bestFit="1" customWidth="1"/>
    <col min="5" max="5" width="59.42578125" bestFit="1" customWidth="1"/>
    <col min="6" max="6" width="11" bestFit="1" customWidth="1"/>
  </cols>
  <sheetData>
    <row r="1" spans="1:6" ht="15" customHeight="1" x14ac:dyDescent="0.25">
      <c r="A1" s="353" t="s">
        <v>43</v>
      </c>
      <c r="B1" s="353"/>
      <c r="E1" s="352" t="s">
        <v>16</v>
      </c>
      <c r="F1" s="352"/>
    </row>
    <row r="2" spans="1:6" x14ac:dyDescent="0.25">
      <c r="A2" s="354" t="s">
        <v>84</v>
      </c>
      <c r="B2" s="46" t="s">
        <v>47</v>
      </c>
      <c r="E2" s="43" t="s">
        <v>17</v>
      </c>
      <c r="F2" s="43" t="s">
        <v>19</v>
      </c>
    </row>
    <row r="3" spans="1:6" x14ac:dyDescent="0.25">
      <c r="A3" s="355"/>
      <c r="B3" s="36" t="s">
        <v>42</v>
      </c>
      <c r="E3" s="44" t="s">
        <v>8</v>
      </c>
      <c r="F3" s="29">
        <v>0.95</v>
      </c>
    </row>
    <row r="4" spans="1:6" x14ac:dyDescent="0.25">
      <c r="A4" s="37" t="s">
        <v>46</v>
      </c>
      <c r="B4" s="38">
        <v>13.72</v>
      </c>
      <c r="E4" s="44" t="s">
        <v>9</v>
      </c>
      <c r="F4" s="29">
        <v>0.5</v>
      </c>
    </row>
    <row r="5" spans="1:6" x14ac:dyDescent="0.25">
      <c r="A5" s="39" t="s">
        <v>81</v>
      </c>
      <c r="B5" s="41">
        <v>0.76</v>
      </c>
      <c r="E5" s="44" t="s">
        <v>10</v>
      </c>
      <c r="F5" s="29">
        <v>0.25</v>
      </c>
    </row>
    <row r="6" spans="1:6" x14ac:dyDescent="0.25">
      <c r="A6" s="39" t="s">
        <v>44</v>
      </c>
      <c r="B6" s="40">
        <v>12.96</v>
      </c>
      <c r="E6" s="44" t="s">
        <v>11</v>
      </c>
      <c r="F6" s="29">
        <v>0.15</v>
      </c>
    </row>
    <row r="7" spans="1:6" x14ac:dyDescent="0.25">
      <c r="A7" s="29" t="s">
        <v>45</v>
      </c>
      <c r="B7" s="41">
        <v>6.1</v>
      </c>
      <c r="E7" s="45" t="s">
        <v>18</v>
      </c>
      <c r="F7" s="42">
        <v>0</v>
      </c>
    </row>
    <row r="8" spans="1:6" ht="15" customHeight="1" x14ac:dyDescent="0.25">
      <c r="A8" s="29" t="s">
        <v>82</v>
      </c>
      <c r="B8" s="41">
        <v>11.92</v>
      </c>
      <c r="E8" s="356" t="s">
        <v>48</v>
      </c>
      <c r="F8" s="356"/>
    </row>
    <row r="9" spans="1:6" ht="17.25" customHeight="1" x14ac:dyDescent="0.25">
      <c r="A9" s="77" t="s">
        <v>83</v>
      </c>
      <c r="B9" s="78">
        <v>2.36</v>
      </c>
      <c r="E9" s="357"/>
      <c r="F9" s="357"/>
    </row>
    <row r="10" spans="1:6" ht="15" customHeight="1" x14ac:dyDescent="0.25">
      <c r="A10" s="356" t="s">
        <v>85</v>
      </c>
      <c r="B10" s="356"/>
      <c r="E10" s="47"/>
      <c r="F10" s="47"/>
    </row>
    <row r="11" spans="1:6" x14ac:dyDescent="0.25">
      <c r="A11" s="357"/>
      <c r="B11" s="357"/>
    </row>
    <row r="12" spans="1:6" x14ac:dyDescent="0.25">
      <c r="A12" s="357"/>
      <c r="B12" s="357"/>
    </row>
    <row r="13" spans="1:6" x14ac:dyDescent="0.25">
      <c r="A13" s="357"/>
      <c r="B13" s="357"/>
    </row>
    <row r="14" spans="1:6" x14ac:dyDescent="0.25">
      <c r="A14" s="2"/>
      <c r="B14" s="2"/>
    </row>
    <row r="15" spans="1:6" x14ac:dyDescent="0.25">
      <c r="A15" s="2"/>
      <c r="B15" s="2"/>
    </row>
    <row r="16" spans="1:6" x14ac:dyDescent="0.25">
      <c r="A16" s="2"/>
      <c r="B16" s="2"/>
    </row>
  </sheetData>
  <sheetProtection algorithmName="SHA-512" hashValue="oMQVXv15eYxp6xpzm4tVpecODW0Wzl9hpFz0bJtR0arl7Ed1aIY5TZ64ruWbpNJYJypne+KRFFrkgyVW7yyKig==" saltValue="uz3zoEDCkRRXMXPhnbwhug==" spinCount="100000" sheet="1" objects="1" scenarios="1"/>
  <mergeCells count="5">
    <mergeCell ref="E1:F1"/>
    <mergeCell ref="A1:B1"/>
    <mergeCell ref="A2:A3"/>
    <mergeCell ref="E8:F9"/>
    <mergeCell ref="A10: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Calculator</vt:lpstr>
      <vt:lpstr>Instr-Info</vt:lpstr>
      <vt:lpstr>Tables</vt:lpstr>
      <vt:lpstr>Nitrogen</vt:lpstr>
      <vt:lpstr>Phosphorus</vt:lpstr>
      <vt:lpstr>Please_Select_One</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Flores</dc:creator>
  <cp:lastModifiedBy>cloudconvert_16</cp:lastModifiedBy>
  <cp:lastPrinted>2014-12-31T13:50:51Z</cp:lastPrinted>
  <dcterms:created xsi:type="dcterms:W3CDTF">2014-05-22T14:42:11Z</dcterms:created>
  <dcterms:modified xsi:type="dcterms:W3CDTF">2021-05-21T18:06:15Z</dcterms:modified>
</cp:coreProperties>
</file>