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ripplinger\Documents\"/>
    </mc:Choice>
  </mc:AlternateContent>
  <bookViews>
    <workbookView xWindow="0" yWindow="0" windowWidth="25128" windowHeight="11700" activeTab="1"/>
  </bookViews>
  <sheets>
    <sheet name="Hemp Fiber" sheetId="1" r:id="rId1"/>
    <sheet name="Hemp Oil"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F9" i="1"/>
  <c r="F8" i="1"/>
  <c r="F7" i="1"/>
  <c r="F6" i="1"/>
  <c r="F5" i="1"/>
  <c r="F4" i="1"/>
  <c r="E9" i="1"/>
  <c r="E8" i="1"/>
  <c r="E7" i="1"/>
  <c r="E6" i="1"/>
  <c r="E5" i="1"/>
  <c r="E4" i="1"/>
  <c r="G21" i="3"/>
  <c r="F8" i="3"/>
  <c r="F7" i="3"/>
  <c r="F6" i="3"/>
  <c r="F5" i="3"/>
  <c r="E8" i="3"/>
  <c r="E7" i="3"/>
  <c r="E6" i="3"/>
  <c r="E5" i="3"/>
  <c r="K17" i="3"/>
  <c r="H10" i="3" l="1"/>
  <c r="G10" i="3"/>
  <c r="F10" i="3"/>
  <c r="E10" i="3"/>
  <c r="K15" i="3"/>
  <c r="I26" i="3" l="1"/>
  <c r="E26" i="3"/>
  <c r="I25" i="3"/>
  <c r="E25" i="3"/>
  <c r="I16" i="3"/>
  <c r="K16" i="3" s="1"/>
  <c r="I14" i="3"/>
  <c r="K14" i="3" s="1"/>
  <c r="K18" i="3" s="1"/>
  <c r="F21" i="3" s="1"/>
  <c r="K21" i="3" s="1"/>
  <c r="J10" i="3"/>
  <c r="I10" i="3"/>
  <c r="K8" i="3"/>
  <c r="K7" i="3"/>
  <c r="K6" i="3"/>
  <c r="K5" i="3"/>
  <c r="K25" i="3" l="1"/>
  <c r="K26" i="3"/>
  <c r="K10" i="3"/>
  <c r="K9" i="1"/>
  <c r="K8" i="1"/>
  <c r="K7" i="1"/>
  <c r="K6" i="1"/>
  <c r="K5" i="1"/>
  <c r="G10" i="1"/>
  <c r="K4" i="1"/>
  <c r="I24" i="1"/>
  <c r="I25" i="1"/>
  <c r="E25" i="1"/>
  <c r="E24" i="1"/>
  <c r="D9" i="1"/>
  <c r="D8" i="1"/>
  <c r="C9" i="1"/>
  <c r="C8" i="1"/>
  <c r="I15" i="1"/>
  <c r="K15" i="1" s="1"/>
  <c r="I14" i="1"/>
  <c r="K14" i="1" s="1"/>
  <c r="I16" i="1"/>
  <c r="F16" i="1"/>
  <c r="J10" i="1"/>
  <c r="I10" i="1"/>
  <c r="H10" i="1"/>
  <c r="F10" i="1"/>
  <c r="E10" i="1"/>
  <c r="K20" i="3" l="1"/>
  <c r="K22" i="3" s="1"/>
  <c r="K27" i="3" s="1"/>
  <c r="K10" i="1"/>
  <c r="K24" i="1"/>
  <c r="K25" i="1"/>
  <c r="K16" i="1"/>
  <c r="K17" i="1" s="1"/>
  <c r="F20" i="1" s="1"/>
  <c r="K20" i="1" s="1"/>
  <c r="K30" i="3" l="1"/>
  <c r="K29" i="3"/>
  <c r="K19" i="1"/>
  <c r="K29" i="1" l="1"/>
  <c r="K21" i="1"/>
  <c r="K26" i="1" l="1"/>
  <c r="K28" i="1" s="1"/>
</calcChain>
</file>

<file path=xl/sharedStrings.xml><?xml version="1.0" encoding="utf-8"?>
<sst xmlns="http://schemas.openxmlformats.org/spreadsheetml/2006/main" count="158" uniqueCount="82">
  <si>
    <t>Fertilizer</t>
  </si>
  <si>
    <t>Fuel</t>
  </si>
  <si>
    <t>Labor</t>
  </si>
  <si>
    <t>Hemp Oil</t>
  </si>
  <si>
    <t>Hemp Fiber</t>
  </si>
  <si>
    <t>http://www.gov.mb.ca/agriculture/business-and-economics/financial-management/pubs/copcropproductioncosts2013_westernmb.pdf</t>
  </si>
  <si>
    <t>Field Operations</t>
  </si>
  <si>
    <t>Times/Qty</t>
  </si>
  <si>
    <t>Unit</t>
  </si>
  <si>
    <t>Power</t>
  </si>
  <si>
    <t>Imp</t>
  </si>
  <si>
    <t>Ownership</t>
  </si>
  <si>
    <t>Repair</t>
  </si>
  <si>
    <t>Total</t>
  </si>
  <si>
    <t>Cultivation</t>
  </si>
  <si>
    <t>Drill</t>
  </si>
  <si>
    <t>Swath/Condition</t>
  </si>
  <si>
    <t>Bale</t>
  </si>
  <si>
    <t>Move Bale</t>
  </si>
  <si>
    <t>Labor Cost</t>
  </si>
  <si>
    <t>$/hr</t>
  </si>
  <si>
    <t>Fuel Cost</t>
  </si>
  <si>
    <t>$/gallon</t>
  </si>
  <si>
    <t>http://cropwatch.unl.edu/image/2016Budgets/Misc%20Crops%20Budget%2042-49.pdf</t>
  </si>
  <si>
    <t>Materials &amp; Services</t>
  </si>
  <si>
    <t>Operation Index</t>
  </si>
  <si>
    <t>Application Rate</t>
  </si>
  <si>
    <t>Applied Price</t>
  </si>
  <si>
    <t>82-0-0</t>
  </si>
  <si>
    <t>Seed</t>
  </si>
  <si>
    <t>lbs</t>
  </si>
  <si>
    <t>lbs N</t>
  </si>
  <si>
    <t>$/lb</t>
  </si>
  <si>
    <t>Hemp Fiber Seed Price</t>
  </si>
  <si>
    <t>Hemp Fiber Price</t>
  </si>
  <si>
    <t>$/ton</t>
  </si>
  <si>
    <t>$/lb N</t>
  </si>
  <si>
    <t>Total for Field Operations, Materials, and Services</t>
  </si>
  <si>
    <t>Cost per ton</t>
  </si>
  <si>
    <t>Cash Cost per ton</t>
  </si>
  <si>
    <t>Overhead</t>
  </si>
  <si>
    <t>Real Estate Opportunity</t>
  </si>
  <si>
    <t>Real Estate Taxes</t>
  </si>
  <si>
    <t>Yield</t>
  </si>
  <si>
    <t>Tons</t>
  </si>
  <si>
    <t xml:space="preserve">Twine </t>
  </si>
  <si>
    <t>Other</t>
  </si>
  <si>
    <t>Twine Price</t>
  </si>
  <si>
    <t>months</t>
  </si>
  <si>
    <t>Land Value</t>
  </si>
  <si>
    <t>$/acre</t>
  </si>
  <si>
    <t>Real Estate Tax Rate</t>
  </si>
  <si>
    <t>%</t>
  </si>
  <si>
    <t>Real Estate Opportunity Cost</t>
  </si>
  <si>
    <t>per acre</t>
  </si>
  <si>
    <t>Total for Field Operations</t>
  </si>
  <si>
    <t>Total for Materials and Services</t>
  </si>
  <si>
    <t xml:space="preserve">Total Operating Costs </t>
  </si>
  <si>
    <t>Total Cost per Acre Including Overhead</t>
  </si>
  <si>
    <t>tons</t>
  </si>
  <si>
    <t>Interest on Operations</t>
  </si>
  <si>
    <t>Hemp Oil Seed Price</t>
  </si>
  <si>
    <t>Hemp Oil Price</t>
  </si>
  <si>
    <t>http://www1.agric.gov.ab.ca/$department/deptdocs.nsf/all/agdex126/$file/153-830-1.pdf</t>
  </si>
  <si>
    <t>Combine</t>
  </si>
  <si>
    <t>10-34-0</t>
  </si>
  <si>
    <t>Drying</t>
  </si>
  <si>
    <t>Fertilizer Spray</t>
  </si>
  <si>
    <t>Cost per pound</t>
  </si>
  <si>
    <t>Cash Cost per pound</t>
  </si>
  <si>
    <t>Custom</t>
  </si>
  <si>
    <t>cwt</t>
  </si>
  <si>
    <t>Drying Cost</t>
  </si>
  <si>
    <t>$/cwt</t>
  </si>
  <si>
    <t>Industrial Hemp Fiber Budget</t>
  </si>
  <si>
    <t>Interest Rate</t>
  </si>
  <si>
    <t>Industrial Hemp Seed Budget</t>
  </si>
  <si>
    <t>Version 2.0</t>
  </si>
  <si>
    <t>Released 8/1/2018</t>
  </si>
  <si>
    <t>Developed by David Ripplinger, Bioproducts and Bioenergy Economics Specialist, North Dakota State Univeristy Extension</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</si>
  <si>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</si>
  <si>
    <t xml:space="preserve">Contact David Ripplinger, 701-231-5265, david.ripplinger@ndsu.edu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</si>
</sst>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28">
    <xf numFmtId="0" fontId="0" fillId="0" borderId="0" xfId="0"/>
    <xf numFmtId="0" fontId="0" fillId="2" borderId="0" xfId="0" applyFill="1"/>
    <xf numFmtId="0" fontId="0" fillId="2" borderId="1" xfId="0" applyFill="1" applyBorder="1"/>
    <xf numFmtId="0" fontId="0" fillId="2" borderId="0" xfId="0" applyFill="1" applyBorder="1"/>
    <xf numFmtId="0" fontId="0" fillId="2" borderId="2" xfId="0" applyFill="1" applyBorder="1"/>
    <xf numFmtId="8" fontId="0" fillId="2" borderId="0" xfId="0" applyNumberFormat="1" applyFill="1"/>
    <xf numFmtId="6" fontId="0" fillId="2" borderId="0" xfId="0" applyNumberFormat="1" applyFill="1"/>
    <xf numFmtId="9" fontId="0" fillId="2" borderId="0" xfId="0" applyNumberFormat="1" applyFill="1"/>
    <xf numFmtId="43" fontId="0" fillId="2" borderId="0" xfId="1" applyFont="1" applyFill="1"/>
    <xf numFmtId="43" fontId="0" fillId="2" borderId="1" xfId="1" applyFont="1" applyFill="1" applyBorder="1"/>
    <xf numFmtId="43" fontId="0" fillId="2" borderId="0" xfId="1" applyFont="1" applyFill="1" applyBorder="1"/>
    <xf numFmtId="43" fontId="0" fillId="2" borderId="2" xfId="1" applyFont="1" applyFill="1" applyBorder="1"/>
    <xf numFmtId="43" fontId="0" fillId="2" borderId="0" xfId="0" applyNumberFormat="1" applyFill="1"/>
    <xf numFmtId="10" fontId="0" fillId="2" borderId="0" xfId="0" applyNumberFormat="1" applyFill="1"/>
    <xf numFmtId="164" fontId="0" fillId="2" borderId="0" xfId="1" applyNumberFormat="1" applyFont="1" applyFill="1"/>
    <xf numFmtId="9" fontId="0" fillId="2" borderId="0" xfId="2" applyFont="1" applyFill="1"/>
    <xf numFmtId="2" fontId="0" fillId="2" borderId="0" xfId="0" applyNumberFormat="1" applyFill="1"/>
    <xf numFmtId="0" fontId="2" fillId="2" borderId="0" xfId="0" applyFont="1" applyFill="1"/>
    <xf numFmtId="0" fontId="2" fillId="2" borderId="0" xfId="0" applyFont="1" applyFill="1" applyAlignment="1">
      <alignment horizontal="center"/>
    </xf>
    <xf numFmtId="2" fontId="0" fillId="2" borderId="2" xfId="0" applyNumberFormat="1" applyFill="1" applyBorder="1"/>
    <xf numFmtId="0" fontId="0" fillId="2" borderId="3" xfId="0" applyFill="1" applyBorder="1"/>
    <xf numFmtId="0" fontId="2" fillId="2" borderId="0" xfId="0" applyFont="1" applyFill="1" applyBorder="1"/>
    <xf numFmtId="0" fontId="2" fillId="2" borderId="0" xfId="0" applyFont="1" applyFill="1" applyBorder="1" applyAlignment="1">
      <alignment horizontal="center"/>
    </xf>
    <xf numFmtId="0" fontId="2" fillId="2" borderId="2" xfId="0" applyFont="1" applyFill="1" applyBorder="1"/>
    <xf numFmtId="0" fontId="2" fillId="2" borderId="2" xfId="0" applyFont="1" applyFill="1" applyBorder="1" applyAlignment="1">
      <alignment horizontal="center"/>
    </xf>
    <xf numFmtId="2" fontId="0" fillId="2" borderId="1" xfId="0" applyNumberFormat="1" applyFill="1" applyBorder="1"/>
    <xf numFmtId="2" fontId="0" fillId="2" borderId="0" xfId="0" applyNumberFormat="1" applyFill="1" applyBorder="1"/>
    <xf numFmtId="0" fontId="4" fillId="2" borderId="0" xfId="3" applyFont="1" applyFill="1" applyAlignment="1">
      <alignment horizontal="left" vertical="top"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8</xdr:col>
      <xdr:colOff>445256</xdr:colOff>
      <xdr:row>41</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3467100"/>
          <a:ext cx="4499096" cy="0"/>
        </a:xfrm>
        <a:prstGeom prst="rect">
          <a:avLst/>
        </a:prstGeom>
      </xdr:spPr>
    </xdr:pic>
    <xdr:clientData/>
  </xdr:twoCellAnchor>
  <xdr:twoCellAnchor editAs="oneCell">
    <xdr:from>
      <xdr:col>1</xdr:col>
      <xdr:colOff>0</xdr:colOff>
      <xdr:row>43</xdr:row>
      <xdr:rowOff>53340</xdr:rowOff>
    </xdr:from>
    <xdr:to>
      <xdr:col>4</xdr:col>
      <xdr:colOff>251460</xdr:colOff>
      <xdr:row>48</xdr:row>
      <xdr:rowOff>44261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86200"/>
          <a:ext cx="3322320" cy="90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8</xdr:col>
      <xdr:colOff>460496</xdr:colOff>
      <xdr:row>41</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7498080"/>
          <a:ext cx="4499096" cy="0"/>
        </a:xfrm>
        <a:prstGeom prst="rect">
          <a:avLst/>
        </a:prstGeom>
      </xdr:spPr>
    </xdr:pic>
    <xdr:clientData/>
  </xdr:twoCellAnchor>
  <xdr:twoCellAnchor editAs="oneCell">
    <xdr:from>
      <xdr:col>1</xdr:col>
      <xdr:colOff>0</xdr:colOff>
      <xdr:row>43</xdr:row>
      <xdr:rowOff>53340</xdr:rowOff>
    </xdr:from>
    <xdr:to>
      <xdr:col>4</xdr:col>
      <xdr:colOff>266700</xdr:colOff>
      <xdr:row>48</xdr:row>
      <xdr:rowOff>44261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840" y="7917180"/>
          <a:ext cx="3322320" cy="905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opLeftCell="A24" workbookViewId="0">
      <selection activeCell="B36" sqref="B36:I50"/>
    </sheetView>
  </sheetViews>
  <sheetFormatPr defaultColWidth="9.109375" defaultRowHeight="14.4" x14ac:dyDescent="0.3"/>
  <cols>
    <col min="1" max="1" width="9.109375" style="1"/>
    <col min="2" max="2" width="22.5546875" style="1" bestFit="1" customWidth="1"/>
    <col min="3" max="3" width="12" style="1" customWidth="1"/>
    <col min="4" max="4" width="10.21875" style="1" customWidth="1"/>
    <col min="5" max="5" width="9.5546875" style="1" bestFit="1" customWidth="1"/>
    <col min="6" max="12" width="9.109375" style="1"/>
    <col min="13" max="13" width="21.44140625" style="1" bestFit="1" customWidth="1"/>
    <col min="14" max="16384" width="9.109375" style="1"/>
  </cols>
  <sheetData>
    <row r="1" spans="1:15" x14ac:dyDescent="0.3">
      <c r="B1" s="17" t="s">
        <v>74</v>
      </c>
    </row>
    <row r="2" spans="1:15" x14ac:dyDescent="0.3">
      <c r="B2" s="21"/>
      <c r="C2" s="21"/>
      <c r="D2" s="21"/>
      <c r="E2" s="21"/>
      <c r="F2" s="21"/>
      <c r="G2" s="22" t="s">
        <v>12</v>
      </c>
      <c r="H2" s="22"/>
      <c r="I2" s="22" t="s">
        <v>11</v>
      </c>
      <c r="J2" s="22"/>
      <c r="K2" s="21"/>
    </row>
    <row r="3" spans="1:15" x14ac:dyDescent="0.3">
      <c r="B3" s="23" t="s">
        <v>6</v>
      </c>
      <c r="C3" s="24" t="s">
        <v>7</v>
      </c>
      <c r="D3" s="24" t="s">
        <v>8</v>
      </c>
      <c r="E3" s="24" t="s">
        <v>2</v>
      </c>
      <c r="F3" s="24" t="s">
        <v>1</v>
      </c>
      <c r="G3" s="24" t="s">
        <v>9</v>
      </c>
      <c r="H3" s="24" t="s">
        <v>10</v>
      </c>
      <c r="I3" s="24" t="s">
        <v>9</v>
      </c>
      <c r="J3" s="24" t="s">
        <v>10</v>
      </c>
      <c r="K3" s="24" t="s">
        <v>13</v>
      </c>
      <c r="M3" s="1" t="s">
        <v>43</v>
      </c>
      <c r="N3" s="1">
        <v>3</v>
      </c>
      <c r="O3" s="1" t="s">
        <v>44</v>
      </c>
    </row>
    <row r="4" spans="1:15" x14ac:dyDescent="0.3">
      <c r="A4" s="1">
        <v>1</v>
      </c>
      <c r="B4" s="3" t="s">
        <v>0</v>
      </c>
      <c r="C4" s="3">
        <v>1</v>
      </c>
      <c r="D4" s="3"/>
      <c r="E4" s="3">
        <f>2/20*$N$4</f>
        <v>2</v>
      </c>
      <c r="F4" s="26">
        <f>0.27/1.85*$N$5</f>
        <v>0.41594594594594597</v>
      </c>
      <c r="G4" s="3">
        <v>0.28999999999999998</v>
      </c>
      <c r="H4" s="3">
        <v>1.24</v>
      </c>
      <c r="I4" s="3">
        <v>4.1399999999999997</v>
      </c>
      <c r="J4" s="3">
        <v>1.21</v>
      </c>
      <c r="K4" s="26">
        <f t="shared" ref="K4:K9" si="0">SUM(E4:J4)</f>
        <v>9.2959459459459453</v>
      </c>
      <c r="M4" s="1" t="s">
        <v>19</v>
      </c>
      <c r="N4" s="1">
        <v>20</v>
      </c>
      <c r="O4" s="1" t="s">
        <v>20</v>
      </c>
    </row>
    <row r="5" spans="1:15" x14ac:dyDescent="0.3">
      <c r="A5" s="1">
        <v>2</v>
      </c>
      <c r="B5" s="3" t="s">
        <v>14</v>
      </c>
      <c r="C5" s="3">
        <v>1</v>
      </c>
      <c r="D5" s="3"/>
      <c r="E5" s="3">
        <f>1/20*$N$4</f>
        <v>1</v>
      </c>
      <c r="F5" s="26">
        <f>1.41/1.85*$N$5</f>
        <v>2.1721621621621621</v>
      </c>
      <c r="G5" s="3">
        <v>0.33</v>
      </c>
      <c r="H5" s="3">
        <v>0.19</v>
      </c>
      <c r="I5" s="3">
        <v>1.1100000000000001</v>
      </c>
      <c r="J5" s="3">
        <v>2.21</v>
      </c>
      <c r="K5" s="26">
        <f t="shared" si="0"/>
        <v>7.0121621621621619</v>
      </c>
      <c r="M5" s="1" t="s">
        <v>21</v>
      </c>
      <c r="N5" s="1">
        <v>2.85</v>
      </c>
      <c r="O5" s="1" t="s">
        <v>22</v>
      </c>
    </row>
    <row r="6" spans="1:15" x14ac:dyDescent="0.3">
      <c r="A6" s="1">
        <v>3</v>
      </c>
      <c r="B6" s="3" t="s">
        <v>15</v>
      </c>
      <c r="C6" s="3">
        <v>1</v>
      </c>
      <c r="D6" s="3"/>
      <c r="E6" s="3">
        <f>1.47/20*$N$4</f>
        <v>1.47</v>
      </c>
      <c r="F6" s="26">
        <f>1.03/1.85*$N$5</f>
        <v>1.5867567567567566</v>
      </c>
      <c r="G6" s="3">
        <v>0.56000000000000005</v>
      </c>
      <c r="H6" s="3">
        <v>3</v>
      </c>
      <c r="I6" s="3"/>
      <c r="J6" s="3"/>
      <c r="K6" s="26">
        <f t="shared" si="0"/>
        <v>6.6167567567567573</v>
      </c>
      <c r="M6" s="1" t="s">
        <v>49</v>
      </c>
      <c r="N6" s="6">
        <v>1500</v>
      </c>
      <c r="O6" s="1" t="s">
        <v>50</v>
      </c>
    </row>
    <row r="7" spans="1:15" x14ac:dyDescent="0.3">
      <c r="A7" s="1">
        <v>4</v>
      </c>
      <c r="B7" s="3" t="s">
        <v>16</v>
      </c>
      <c r="C7" s="3">
        <v>1</v>
      </c>
      <c r="D7" s="3"/>
      <c r="E7" s="3">
        <f>1.76/20*$N$4</f>
        <v>1.7599999999999998</v>
      </c>
      <c r="F7" s="26">
        <f>1.2/1.85*$N$5</f>
        <v>1.8486486486486484</v>
      </c>
      <c r="G7" s="3">
        <v>0.67</v>
      </c>
      <c r="H7" s="3"/>
      <c r="I7" s="3"/>
      <c r="J7" s="3"/>
      <c r="K7" s="26">
        <f t="shared" si="0"/>
        <v>4.2786486486486481</v>
      </c>
      <c r="M7" s="1" t="s">
        <v>75</v>
      </c>
      <c r="N7" s="8">
        <v>4.75</v>
      </c>
      <c r="O7" s="1" t="s">
        <v>52</v>
      </c>
    </row>
    <row r="8" spans="1:15" x14ac:dyDescent="0.3">
      <c r="A8" s="1">
        <v>5</v>
      </c>
      <c r="B8" s="3" t="s">
        <v>17</v>
      </c>
      <c r="C8" s="3">
        <f>N3</f>
        <v>3</v>
      </c>
      <c r="D8" s="3" t="str">
        <f>O3</f>
        <v>Tons</v>
      </c>
      <c r="E8" s="3">
        <f>7.26/20*$N$4</f>
        <v>7.26</v>
      </c>
      <c r="F8" s="26">
        <f>2.46/1.85*$N$5</f>
        <v>3.7897297297297299</v>
      </c>
      <c r="G8" s="3">
        <v>2.29</v>
      </c>
      <c r="H8" s="3">
        <v>6</v>
      </c>
      <c r="I8" s="3">
        <v>9</v>
      </c>
      <c r="J8" s="3">
        <v>7</v>
      </c>
      <c r="K8" s="26">
        <f t="shared" si="0"/>
        <v>35.339729729729726</v>
      </c>
      <c r="M8" s="1" t="s">
        <v>53</v>
      </c>
      <c r="N8" s="1">
        <v>4</v>
      </c>
      <c r="O8" s="1" t="s">
        <v>52</v>
      </c>
    </row>
    <row r="9" spans="1:15" x14ac:dyDescent="0.3">
      <c r="A9" s="1">
        <v>6</v>
      </c>
      <c r="B9" s="4" t="s">
        <v>18</v>
      </c>
      <c r="C9" s="4">
        <f>N3</f>
        <v>3</v>
      </c>
      <c r="D9" s="4" t="str">
        <f>O3</f>
        <v>Tons</v>
      </c>
      <c r="E9" s="4">
        <f>3.63/20*$N$4</f>
        <v>3.63</v>
      </c>
      <c r="F9" s="19">
        <f>1.71/1.85*$N$5</f>
        <v>2.6343243243243242</v>
      </c>
      <c r="G9" s="4">
        <v>2.75</v>
      </c>
      <c r="H9" s="4"/>
      <c r="I9" s="4">
        <v>4.5599999999999996</v>
      </c>
      <c r="J9" s="4">
        <v>0.19</v>
      </c>
      <c r="K9" s="19">
        <f t="shared" si="0"/>
        <v>13.764324324324322</v>
      </c>
      <c r="M9" s="1" t="s">
        <v>51</v>
      </c>
      <c r="N9" s="8">
        <v>1</v>
      </c>
      <c r="O9" s="1" t="s">
        <v>52</v>
      </c>
    </row>
    <row r="10" spans="1:15" x14ac:dyDescent="0.3">
      <c r="C10" s="17" t="s">
        <v>55</v>
      </c>
      <c r="E10" s="1">
        <f t="shared" ref="E10:K10" si="1">SUM(E4:E9)</f>
        <v>17.119999999999997</v>
      </c>
      <c r="F10" s="16">
        <f t="shared" si="1"/>
        <v>12.447567567567567</v>
      </c>
      <c r="G10" s="1">
        <f t="shared" si="1"/>
        <v>6.8900000000000006</v>
      </c>
      <c r="H10" s="1">
        <f t="shared" si="1"/>
        <v>10.43</v>
      </c>
      <c r="I10" s="1">
        <f t="shared" si="1"/>
        <v>18.809999999999999</v>
      </c>
      <c r="J10" s="1">
        <f t="shared" si="1"/>
        <v>10.61</v>
      </c>
      <c r="K10" s="16">
        <f t="shared" si="1"/>
        <v>76.30756756756756</v>
      </c>
      <c r="N10" s="6"/>
    </row>
    <row r="11" spans="1:15" x14ac:dyDescent="0.3">
      <c r="M11" s="1" t="s">
        <v>33</v>
      </c>
      <c r="N11" s="5">
        <v>0.18</v>
      </c>
      <c r="O11" s="1" t="s">
        <v>32</v>
      </c>
    </row>
    <row r="12" spans="1:15" x14ac:dyDescent="0.3">
      <c r="M12" s="1" t="s">
        <v>34</v>
      </c>
      <c r="N12" s="1">
        <v>80</v>
      </c>
      <c r="O12" s="1" t="s">
        <v>35</v>
      </c>
    </row>
    <row r="13" spans="1:15" x14ac:dyDescent="0.3">
      <c r="B13" s="17" t="s">
        <v>24</v>
      </c>
      <c r="C13" s="17"/>
      <c r="D13" s="17" t="s">
        <v>25</v>
      </c>
      <c r="E13" s="17"/>
      <c r="F13" s="17" t="s">
        <v>26</v>
      </c>
      <c r="G13" s="17"/>
      <c r="H13" s="17"/>
      <c r="I13" s="17" t="s">
        <v>27</v>
      </c>
      <c r="J13" s="17"/>
      <c r="K13" s="18" t="s">
        <v>13</v>
      </c>
      <c r="M13" s="1" t="s">
        <v>28</v>
      </c>
      <c r="N13" s="1">
        <v>0.35</v>
      </c>
      <c r="O13" s="1" t="s">
        <v>36</v>
      </c>
    </row>
    <row r="14" spans="1:15" x14ac:dyDescent="0.3">
      <c r="B14" s="2" t="s">
        <v>28</v>
      </c>
      <c r="C14" s="2" t="s">
        <v>0</v>
      </c>
      <c r="D14" s="2">
        <v>1</v>
      </c>
      <c r="E14" s="2"/>
      <c r="F14" s="2">
        <v>80</v>
      </c>
      <c r="G14" s="2" t="s">
        <v>31</v>
      </c>
      <c r="H14" s="2"/>
      <c r="I14" s="9">
        <f>N13</f>
        <v>0.35</v>
      </c>
      <c r="J14" s="9"/>
      <c r="K14" s="9">
        <f>F14*I14</f>
        <v>28</v>
      </c>
      <c r="M14" s="1" t="s">
        <v>47</v>
      </c>
      <c r="N14" s="1">
        <v>1</v>
      </c>
      <c r="O14" s="1" t="s">
        <v>35</v>
      </c>
    </row>
    <row r="15" spans="1:15" x14ac:dyDescent="0.3">
      <c r="B15" s="3" t="s">
        <v>4</v>
      </c>
      <c r="C15" s="3" t="s">
        <v>29</v>
      </c>
      <c r="D15" s="3">
        <v>3</v>
      </c>
      <c r="E15" s="3"/>
      <c r="F15" s="3">
        <v>35</v>
      </c>
      <c r="G15" s="3" t="s">
        <v>30</v>
      </c>
      <c r="H15" s="3"/>
      <c r="I15" s="10">
        <f>N11</f>
        <v>0.18</v>
      </c>
      <c r="J15" s="10"/>
      <c r="K15" s="10">
        <f>I15*F15</f>
        <v>6.3</v>
      </c>
    </row>
    <row r="16" spans="1:15" x14ac:dyDescent="0.3">
      <c r="B16" s="4" t="s">
        <v>45</v>
      </c>
      <c r="C16" s="4" t="s">
        <v>46</v>
      </c>
      <c r="D16" s="4">
        <v>5</v>
      </c>
      <c r="E16" s="4"/>
      <c r="F16" s="4">
        <f>N3</f>
        <v>3</v>
      </c>
      <c r="G16" s="4" t="s">
        <v>59</v>
      </c>
      <c r="H16" s="4"/>
      <c r="I16" s="11">
        <f>N14</f>
        <v>1</v>
      </c>
      <c r="J16" s="11"/>
      <c r="K16" s="11">
        <f>F16*I16</f>
        <v>3</v>
      </c>
    </row>
    <row r="17" spans="2:11" x14ac:dyDescent="0.3">
      <c r="C17" s="17" t="s">
        <v>56</v>
      </c>
      <c r="K17" s="12">
        <f>SUM(K14:K16)</f>
        <v>37.299999999999997</v>
      </c>
    </row>
    <row r="18" spans="2:11" x14ac:dyDescent="0.3">
      <c r="K18" s="12"/>
    </row>
    <row r="19" spans="2:11" x14ac:dyDescent="0.3">
      <c r="B19" s="1" t="s">
        <v>37</v>
      </c>
      <c r="K19" s="1">
        <f>K10+K17</f>
        <v>113.60756756756756</v>
      </c>
    </row>
    <row r="20" spans="2:11" x14ac:dyDescent="0.3">
      <c r="C20" s="1" t="s">
        <v>60</v>
      </c>
      <c r="F20" s="12">
        <f>K17</f>
        <v>37.299999999999997</v>
      </c>
      <c r="G20" s="13">
        <f>N7/100</f>
        <v>4.7500000000000001E-2</v>
      </c>
      <c r="H20" s="1">
        <v>6</v>
      </c>
      <c r="I20" s="1" t="s">
        <v>48</v>
      </c>
      <c r="K20" s="19">
        <f>F20*G20*H20/12</f>
        <v>0.88587499999999997</v>
      </c>
    </row>
    <row r="21" spans="2:11" x14ac:dyDescent="0.3">
      <c r="B21" s="17" t="s">
        <v>57</v>
      </c>
      <c r="G21" s="13"/>
      <c r="K21" s="16">
        <f>K19+K20</f>
        <v>114.49344256756756</v>
      </c>
    </row>
    <row r="22" spans="2:11" x14ac:dyDescent="0.3">
      <c r="B22" s="17"/>
      <c r="G22" s="13"/>
    </row>
    <row r="23" spans="2:11" x14ac:dyDescent="0.3">
      <c r="B23" s="17" t="s">
        <v>40</v>
      </c>
    </row>
    <row r="24" spans="2:11" x14ac:dyDescent="0.3">
      <c r="B24" s="1" t="s">
        <v>41</v>
      </c>
      <c r="E24" s="14">
        <f>N6</f>
        <v>1500</v>
      </c>
      <c r="F24" s="1" t="s">
        <v>54</v>
      </c>
      <c r="I24" s="7">
        <f>N8/100</f>
        <v>0.04</v>
      </c>
      <c r="K24" s="8">
        <f>E24*I24</f>
        <v>60</v>
      </c>
    </row>
    <row r="25" spans="2:11" x14ac:dyDescent="0.3">
      <c r="B25" s="1" t="s">
        <v>42</v>
      </c>
      <c r="E25" s="14">
        <f>N6</f>
        <v>1500</v>
      </c>
      <c r="F25" s="1" t="s">
        <v>54</v>
      </c>
      <c r="I25" s="15">
        <f>N9/100</f>
        <v>0.01</v>
      </c>
      <c r="K25" s="11">
        <f>E25*I25</f>
        <v>15</v>
      </c>
    </row>
    <row r="26" spans="2:11" x14ac:dyDescent="0.3">
      <c r="B26" s="17" t="s">
        <v>58</v>
      </c>
      <c r="K26" s="16">
        <f>SUM(K21:K25)</f>
        <v>189.49344256756757</v>
      </c>
    </row>
    <row r="27" spans="2:11" x14ac:dyDescent="0.3">
      <c r="K27" s="16"/>
    </row>
    <row r="28" spans="2:11" x14ac:dyDescent="0.3">
      <c r="B28" s="17" t="s">
        <v>38</v>
      </c>
      <c r="K28" s="16">
        <f>K26/N3</f>
        <v>63.164480855855857</v>
      </c>
    </row>
    <row r="29" spans="2:11" x14ac:dyDescent="0.3">
      <c r="B29" s="17" t="s">
        <v>39</v>
      </c>
      <c r="K29" s="16">
        <f>K19/N3</f>
        <v>37.869189189189186</v>
      </c>
    </row>
    <row r="31" spans="2:11" x14ac:dyDescent="0.3">
      <c r="B31" s="1" t="s">
        <v>63</v>
      </c>
    </row>
    <row r="32" spans="2:11" x14ac:dyDescent="0.3">
      <c r="B32" s="1" t="s">
        <v>5</v>
      </c>
    </row>
    <row r="33" spans="2:9" x14ac:dyDescent="0.3">
      <c r="B33" s="1" t="s">
        <v>23</v>
      </c>
    </row>
    <row r="36" spans="2:9" x14ac:dyDescent="0.3">
      <c r="B36" s="1" t="s">
        <v>77</v>
      </c>
      <c r="D36" s="15"/>
      <c r="F36" s="15"/>
    </row>
    <row r="37" spans="2:9" x14ac:dyDescent="0.3">
      <c r="B37" s="1" t="s">
        <v>78</v>
      </c>
      <c r="D37" s="15"/>
      <c r="F37" s="15"/>
    </row>
    <row r="38" spans="2:9" x14ac:dyDescent="0.3">
      <c r="B38" s="1" t="s">
        <v>79</v>
      </c>
      <c r="D38" s="15"/>
      <c r="F38" s="15"/>
    </row>
    <row r="39" spans="2:9" x14ac:dyDescent="0.3">
      <c r="B39" s="1" t="s">
        <v>81</v>
      </c>
      <c r="D39" s="15"/>
      <c r="F39" s="15"/>
    </row>
    <row r="40" spans="2:9" x14ac:dyDescent="0.3">
      <c r="B40" s="27" t="s">
        <v>80</v>
      </c>
      <c r="C40" s="27"/>
      <c r="D40" s="27"/>
      <c r="E40" s="27"/>
      <c r="F40" s="27"/>
      <c r="G40" s="27"/>
      <c r="H40" s="27"/>
      <c r="I40" s="27"/>
    </row>
    <row r="41" spans="2:9" x14ac:dyDescent="0.3">
      <c r="B41" s="27"/>
      <c r="C41" s="27"/>
      <c r="D41" s="27"/>
      <c r="E41" s="27"/>
      <c r="F41" s="27"/>
      <c r="G41" s="27"/>
      <c r="H41" s="27"/>
      <c r="I41" s="27"/>
    </row>
    <row r="42" spans="2:9" x14ac:dyDescent="0.3">
      <c r="B42" s="27"/>
      <c r="C42" s="27"/>
      <c r="D42" s="27"/>
      <c r="E42" s="27"/>
      <c r="F42" s="27"/>
      <c r="G42" s="27"/>
      <c r="H42" s="27"/>
      <c r="I42" s="27"/>
    </row>
    <row r="43" spans="2:9" x14ac:dyDescent="0.3">
      <c r="B43" s="27"/>
      <c r="C43" s="27"/>
      <c r="D43" s="27"/>
      <c r="E43" s="27"/>
      <c r="F43" s="27"/>
      <c r="G43" s="27"/>
      <c r="H43" s="27"/>
      <c r="I43" s="27"/>
    </row>
  </sheetData>
  <mergeCells count="1">
    <mergeCell ref="B40:I43"/>
  </mergeCells>
  <pageMargins left="0.7" right="0.7" top="0.75" bottom="0.75" header="0.3" footer="0.3"/>
  <ignoredErrors>
    <ignoredError sqref="K15"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28" workbookViewId="0">
      <selection activeCell="B39" sqref="B39"/>
    </sheetView>
  </sheetViews>
  <sheetFormatPr defaultColWidth="9.109375" defaultRowHeight="14.4" x14ac:dyDescent="0.3"/>
  <cols>
    <col min="1" max="1" width="9.109375" style="1"/>
    <col min="2" max="2" width="22.5546875" style="1" bestFit="1" customWidth="1"/>
    <col min="3" max="3" width="12" style="1" customWidth="1"/>
    <col min="4" max="4" width="10" style="1" customWidth="1"/>
    <col min="5" max="5" width="9.5546875" style="1" bestFit="1" customWidth="1"/>
    <col min="6" max="12" width="9.109375" style="1"/>
    <col min="13" max="13" width="24.77734375" style="1" bestFit="1" customWidth="1"/>
    <col min="14" max="16384" width="9.109375" style="1"/>
  </cols>
  <sheetData>
    <row r="1" spans="1:15" x14ac:dyDescent="0.3">
      <c r="B1" s="17" t="s">
        <v>76</v>
      </c>
    </row>
    <row r="3" spans="1:15" x14ac:dyDescent="0.3">
      <c r="B3" s="17"/>
      <c r="C3" s="17"/>
      <c r="D3" s="17"/>
      <c r="E3" s="17"/>
      <c r="F3" s="17"/>
      <c r="G3" s="18" t="s">
        <v>12</v>
      </c>
      <c r="H3" s="18"/>
      <c r="I3" s="18" t="s">
        <v>11</v>
      </c>
      <c r="J3" s="18"/>
      <c r="K3" s="17"/>
    </row>
    <row r="4" spans="1:15" x14ac:dyDescent="0.3">
      <c r="B4" s="17" t="s">
        <v>6</v>
      </c>
      <c r="C4" s="18" t="s">
        <v>7</v>
      </c>
      <c r="D4" s="18" t="s">
        <v>8</v>
      </c>
      <c r="E4" s="18" t="s">
        <v>2</v>
      </c>
      <c r="F4" s="18" t="s">
        <v>1</v>
      </c>
      <c r="G4" s="18" t="s">
        <v>9</v>
      </c>
      <c r="H4" s="18" t="s">
        <v>10</v>
      </c>
      <c r="I4" s="18" t="s">
        <v>9</v>
      </c>
      <c r="J4" s="18" t="s">
        <v>10</v>
      </c>
      <c r="K4" s="18" t="s">
        <v>13</v>
      </c>
      <c r="M4" s="1" t="s">
        <v>43</v>
      </c>
      <c r="N4" s="1">
        <v>1000</v>
      </c>
      <c r="O4" s="1" t="s">
        <v>30</v>
      </c>
    </row>
    <row r="5" spans="1:15" x14ac:dyDescent="0.3">
      <c r="B5" s="2" t="s">
        <v>67</v>
      </c>
      <c r="C5" s="2">
        <v>1</v>
      </c>
      <c r="D5" s="2"/>
      <c r="E5" s="2">
        <f>2/20*$N$5</f>
        <v>2</v>
      </c>
      <c r="F5" s="25">
        <f>0.27/1.85*$N$6</f>
        <v>0.41594594594594597</v>
      </c>
      <c r="G5" s="2">
        <v>0.28999999999999998</v>
      </c>
      <c r="H5" s="2">
        <v>1.24</v>
      </c>
      <c r="I5" s="2">
        <v>4.1399999999999997</v>
      </c>
      <c r="J5" s="2">
        <v>1.21</v>
      </c>
      <c r="K5" s="25">
        <f t="shared" ref="K5:K8" si="0">SUM(E5:J5)</f>
        <v>9.2959459459459453</v>
      </c>
      <c r="M5" s="1" t="s">
        <v>19</v>
      </c>
      <c r="N5" s="1">
        <v>20</v>
      </c>
      <c r="O5" s="1" t="s">
        <v>20</v>
      </c>
    </row>
    <row r="6" spans="1:15" x14ac:dyDescent="0.3">
      <c r="A6" s="1">
        <v>1</v>
      </c>
      <c r="B6" s="3" t="s">
        <v>14</v>
      </c>
      <c r="C6" s="3">
        <v>1</v>
      </c>
      <c r="D6" s="3"/>
      <c r="E6" s="3">
        <f>1/20*$N$5</f>
        <v>1</v>
      </c>
      <c r="F6" s="26">
        <f>1.41/1.85*$N$6</f>
        <v>2.1721621621621621</v>
      </c>
      <c r="G6" s="3">
        <v>0.33</v>
      </c>
      <c r="H6" s="3">
        <v>0.19</v>
      </c>
      <c r="I6" s="3">
        <v>1.1100000000000001</v>
      </c>
      <c r="J6" s="3">
        <v>2.21</v>
      </c>
      <c r="K6" s="26">
        <f t="shared" si="0"/>
        <v>7.0121621621621619</v>
      </c>
      <c r="M6" s="1" t="s">
        <v>21</v>
      </c>
      <c r="N6" s="1">
        <v>2.85</v>
      </c>
      <c r="O6" s="1" t="s">
        <v>22</v>
      </c>
    </row>
    <row r="7" spans="1:15" x14ac:dyDescent="0.3">
      <c r="A7" s="1">
        <v>2</v>
      </c>
      <c r="B7" s="3" t="s">
        <v>15</v>
      </c>
      <c r="C7" s="3">
        <v>1</v>
      </c>
      <c r="D7" s="3"/>
      <c r="E7" s="3">
        <f>1.47/20*$N$5</f>
        <v>1.47</v>
      </c>
      <c r="F7" s="26">
        <f>1.03/1.85*$N$6</f>
        <v>1.5867567567567566</v>
      </c>
      <c r="G7" s="3">
        <v>0.56000000000000005</v>
      </c>
      <c r="H7" s="3">
        <v>3</v>
      </c>
      <c r="I7" s="3"/>
      <c r="J7" s="3"/>
      <c r="K7" s="26">
        <f t="shared" si="0"/>
        <v>6.6167567567567573</v>
      </c>
      <c r="M7" s="1" t="s">
        <v>49</v>
      </c>
      <c r="N7" s="6">
        <v>1500</v>
      </c>
      <c r="O7" s="1" t="s">
        <v>50</v>
      </c>
    </row>
    <row r="8" spans="1:15" x14ac:dyDescent="0.3">
      <c r="A8" s="1">
        <v>3</v>
      </c>
      <c r="B8" s="3" t="s">
        <v>64</v>
      </c>
      <c r="C8" s="3">
        <v>1</v>
      </c>
      <c r="D8" s="3"/>
      <c r="E8" s="3">
        <f>1.76/20*$N$5</f>
        <v>1.7599999999999998</v>
      </c>
      <c r="F8" s="26">
        <f>1.2/1.85*$N$6</f>
        <v>1.8486486486486484</v>
      </c>
      <c r="G8" s="3">
        <v>0.67</v>
      </c>
      <c r="H8" s="3"/>
      <c r="I8" s="3"/>
      <c r="J8" s="3"/>
      <c r="K8" s="26">
        <f t="shared" si="0"/>
        <v>4.2786486486486481</v>
      </c>
      <c r="M8" s="1" t="s">
        <v>75</v>
      </c>
      <c r="N8" s="8">
        <v>4.75</v>
      </c>
      <c r="O8" s="1" t="s">
        <v>52</v>
      </c>
    </row>
    <row r="9" spans="1:15" ht="15" thickBot="1" x14ac:dyDescent="0.35">
      <c r="A9" s="1">
        <v>4</v>
      </c>
      <c r="B9" s="20" t="s">
        <v>66</v>
      </c>
      <c r="C9" s="20" t="s">
        <v>70</v>
      </c>
      <c r="D9" s="20"/>
      <c r="E9" s="20"/>
      <c r="F9" s="20"/>
      <c r="G9" s="20"/>
      <c r="H9" s="20"/>
      <c r="I9" s="20"/>
      <c r="J9" s="20"/>
      <c r="K9" s="20"/>
      <c r="M9" s="1" t="s">
        <v>53</v>
      </c>
      <c r="N9" s="1">
        <v>4</v>
      </c>
      <c r="O9" s="1" t="s">
        <v>52</v>
      </c>
    </row>
    <row r="10" spans="1:15" x14ac:dyDescent="0.3">
      <c r="C10" s="17" t="s">
        <v>55</v>
      </c>
      <c r="E10" s="1">
        <f>SUM(E5:E9)</f>
        <v>6.2299999999999995</v>
      </c>
      <c r="F10" s="16">
        <f>SUM(F5:F9)</f>
        <v>6.0235135135135129</v>
      </c>
      <c r="G10" s="1">
        <f>SUM(G5:G9)</f>
        <v>1.85</v>
      </c>
      <c r="H10" s="1">
        <f>SUM(H5:H9)</f>
        <v>4.43</v>
      </c>
      <c r="I10" s="1">
        <f>SUM(I5:I8)</f>
        <v>5.25</v>
      </c>
      <c r="J10" s="1">
        <f>SUM(J5:J8)</f>
        <v>3.42</v>
      </c>
      <c r="K10" s="16">
        <f>SUM(K5:K8)</f>
        <v>27.203513513513514</v>
      </c>
      <c r="M10" s="1" t="s">
        <v>51</v>
      </c>
      <c r="N10" s="8">
        <v>1</v>
      </c>
      <c r="O10" s="1" t="s">
        <v>52</v>
      </c>
    </row>
    <row r="11" spans="1:15" x14ac:dyDescent="0.3">
      <c r="N11" s="6"/>
    </row>
    <row r="12" spans="1:15" x14ac:dyDescent="0.3">
      <c r="M12" s="1" t="s">
        <v>61</v>
      </c>
      <c r="N12" s="5">
        <v>2</v>
      </c>
      <c r="O12" s="1" t="s">
        <v>32</v>
      </c>
    </row>
    <row r="13" spans="1:15" x14ac:dyDescent="0.3">
      <c r="B13" s="17" t="s">
        <v>24</v>
      </c>
      <c r="C13" s="17"/>
      <c r="D13" s="17" t="s">
        <v>25</v>
      </c>
      <c r="E13" s="17"/>
      <c r="F13" s="17" t="s">
        <v>26</v>
      </c>
      <c r="G13" s="17"/>
      <c r="H13" s="17"/>
      <c r="I13" s="17" t="s">
        <v>27</v>
      </c>
      <c r="J13" s="17"/>
      <c r="K13" s="17" t="s">
        <v>13</v>
      </c>
      <c r="M13" s="1" t="s">
        <v>62</v>
      </c>
      <c r="N13" s="1">
        <v>0.8</v>
      </c>
      <c r="O13" s="1" t="s">
        <v>32</v>
      </c>
    </row>
    <row r="14" spans="1:15" x14ac:dyDescent="0.3">
      <c r="B14" s="2" t="s">
        <v>28</v>
      </c>
      <c r="C14" s="2" t="s">
        <v>0</v>
      </c>
      <c r="D14" s="2">
        <v>1</v>
      </c>
      <c r="E14" s="2"/>
      <c r="F14" s="2">
        <v>80</v>
      </c>
      <c r="G14" s="2" t="s">
        <v>31</v>
      </c>
      <c r="H14" s="2"/>
      <c r="I14" s="9">
        <f>N14</f>
        <v>0.35</v>
      </c>
      <c r="J14" s="9"/>
      <c r="K14" s="9">
        <f>F14*I14</f>
        <v>28</v>
      </c>
      <c r="M14" s="1" t="s">
        <v>28</v>
      </c>
      <c r="N14" s="1">
        <v>0.35</v>
      </c>
      <c r="O14" s="1" t="s">
        <v>36</v>
      </c>
    </row>
    <row r="15" spans="1:15" x14ac:dyDescent="0.3">
      <c r="B15" s="3" t="s">
        <v>65</v>
      </c>
      <c r="C15" s="3" t="s">
        <v>0</v>
      </c>
      <c r="D15" s="3">
        <v>1</v>
      </c>
      <c r="E15" s="3"/>
      <c r="F15" s="3">
        <v>20</v>
      </c>
      <c r="G15" s="3" t="s">
        <v>30</v>
      </c>
      <c r="H15" s="3"/>
      <c r="I15" s="10">
        <v>0.35</v>
      </c>
      <c r="J15" s="3"/>
      <c r="K15" s="10">
        <f>F15*I15</f>
        <v>7</v>
      </c>
      <c r="M15" s="1" t="s">
        <v>47</v>
      </c>
      <c r="N15" s="1">
        <v>1</v>
      </c>
      <c r="O15" s="1" t="s">
        <v>35</v>
      </c>
    </row>
    <row r="16" spans="1:15" x14ac:dyDescent="0.3">
      <c r="B16" s="3" t="s">
        <v>3</v>
      </c>
      <c r="C16" s="3" t="s">
        <v>29</v>
      </c>
      <c r="D16" s="3">
        <v>3</v>
      </c>
      <c r="E16" s="3"/>
      <c r="F16" s="3">
        <v>20</v>
      </c>
      <c r="G16" s="3" t="s">
        <v>30</v>
      </c>
      <c r="H16" s="3"/>
      <c r="I16" s="10">
        <f>N12</f>
        <v>2</v>
      </c>
      <c r="J16" s="10"/>
      <c r="K16" s="10">
        <f>I16*F16</f>
        <v>40</v>
      </c>
      <c r="M16" s="1" t="s">
        <v>72</v>
      </c>
      <c r="N16" s="1">
        <v>1</v>
      </c>
      <c r="O16" s="1" t="s">
        <v>73</v>
      </c>
    </row>
    <row r="17" spans="2:11" x14ac:dyDescent="0.3">
      <c r="B17" s="4" t="s">
        <v>66</v>
      </c>
      <c r="C17" s="4" t="s">
        <v>70</v>
      </c>
      <c r="D17" s="4">
        <v>4</v>
      </c>
      <c r="E17" s="4"/>
      <c r="F17" s="4">
        <v>1</v>
      </c>
      <c r="G17" s="4" t="s">
        <v>71</v>
      </c>
      <c r="H17" s="4"/>
      <c r="I17" s="11">
        <v>1</v>
      </c>
      <c r="J17" s="11"/>
      <c r="K17" s="11">
        <f>N4/100*I17</f>
        <v>10</v>
      </c>
    </row>
    <row r="18" spans="2:11" x14ac:dyDescent="0.3">
      <c r="C18" s="17" t="s">
        <v>56</v>
      </c>
      <c r="K18" s="12">
        <f>SUM(K14:K17)</f>
        <v>85</v>
      </c>
    </row>
    <row r="19" spans="2:11" x14ac:dyDescent="0.3">
      <c r="K19" s="12"/>
    </row>
    <row r="20" spans="2:11" x14ac:dyDescent="0.3">
      <c r="B20" s="1" t="s">
        <v>37</v>
      </c>
      <c r="K20" s="12">
        <f>K10+K18</f>
        <v>112.20351351351351</v>
      </c>
    </row>
    <row r="21" spans="2:11" x14ac:dyDescent="0.3">
      <c r="C21" s="1" t="s">
        <v>60</v>
      </c>
      <c r="F21" s="12">
        <f>K18</f>
        <v>85</v>
      </c>
      <c r="G21" s="13">
        <f>N8/100</f>
        <v>4.7500000000000001E-2</v>
      </c>
      <c r="H21" s="1">
        <v>6</v>
      </c>
      <c r="I21" s="1" t="s">
        <v>48</v>
      </c>
      <c r="K21" s="19">
        <f>F21*G21*H21/12</f>
        <v>2.0187499999999998</v>
      </c>
    </row>
    <row r="22" spans="2:11" x14ac:dyDescent="0.3">
      <c r="B22" s="17" t="s">
        <v>57</v>
      </c>
      <c r="G22" s="13"/>
      <c r="K22" s="16">
        <f>K20+K21</f>
        <v>114.22226351351351</v>
      </c>
    </row>
    <row r="23" spans="2:11" x14ac:dyDescent="0.3">
      <c r="B23" s="17"/>
      <c r="G23" s="13"/>
    </row>
    <row r="24" spans="2:11" x14ac:dyDescent="0.3">
      <c r="B24" s="17" t="s">
        <v>40</v>
      </c>
    </row>
    <row r="25" spans="2:11" x14ac:dyDescent="0.3">
      <c r="B25" s="1" t="s">
        <v>41</v>
      </c>
      <c r="E25" s="14">
        <f>N7</f>
        <v>1500</v>
      </c>
      <c r="F25" s="1" t="s">
        <v>54</v>
      </c>
      <c r="I25" s="7">
        <f>N9/100</f>
        <v>0.04</v>
      </c>
      <c r="K25" s="8">
        <f>E25*I25</f>
        <v>60</v>
      </c>
    </row>
    <row r="26" spans="2:11" x14ac:dyDescent="0.3">
      <c r="B26" s="1" t="s">
        <v>42</v>
      </c>
      <c r="E26" s="14">
        <f>N7</f>
        <v>1500</v>
      </c>
      <c r="F26" s="1" t="s">
        <v>54</v>
      </c>
      <c r="I26" s="15">
        <f>N10/100</f>
        <v>0.01</v>
      </c>
      <c r="K26" s="11">
        <f>E26*I26</f>
        <v>15</v>
      </c>
    </row>
    <row r="27" spans="2:11" x14ac:dyDescent="0.3">
      <c r="B27" s="17" t="s">
        <v>58</v>
      </c>
      <c r="K27" s="16">
        <f>SUM(K22:K26)</f>
        <v>189.2222635135135</v>
      </c>
    </row>
    <row r="28" spans="2:11" x14ac:dyDescent="0.3">
      <c r="K28" s="16"/>
    </row>
    <row r="29" spans="2:11" x14ac:dyDescent="0.3">
      <c r="B29" s="17" t="s">
        <v>68</v>
      </c>
      <c r="K29" s="16">
        <f>K27/N4</f>
        <v>0.18922226351351348</v>
      </c>
    </row>
    <row r="30" spans="2:11" x14ac:dyDescent="0.3">
      <c r="B30" s="17" t="s">
        <v>69</v>
      </c>
      <c r="K30" s="16">
        <f>K20/N4</f>
        <v>0.11220351351351351</v>
      </c>
    </row>
    <row r="33" spans="2:9" x14ac:dyDescent="0.3">
      <c r="B33" s="1" t="s">
        <v>5</v>
      </c>
    </row>
    <row r="34" spans="2:9" x14ac:dyDescent="0.3">
      <c r="B34" s="1" t="s">
        <v>23</v>
      </c>
    </row>
    <row r="36" spans="2:9" x14ac:dyDescent="0.3">
      <c r="B36" s="1" t="s">
        <v>77</v>
      </c>
      <c r="D36" s="15"/>
      <c r="F36" s="15"/>
    </row>
    <row r="37" spans="2:9" x14ac:dyDescent="0.3">
      <c r="B37" s="1" t="s">
        <v>78</v>
      </c>
      <c r="D37" s="15"/>
      <c r="F37" s="15"/>
    </row>
    <row r="38" spans="2:9" x14ac:dyDescent="0.3">
      <c r="B38" s="1" t="s">
        <v>79</v>
      </c>
      <c r="D38" s="15"/>
      <c r="F38" s="15"/>
    </row>
    <row r="39" spans="2:9" x14ac:dyDescent="0.3">
      <c r="B39" s="1" t="s">
        <v>81</v>
      </c>
      <c r="D39" s="15"/>
      <c r="F39" s="15"/>
    </row>
    <row r="40" spans="2:9" x14ac:dyDescent="0.3">
      <c r="B40" s="27" t="s">
        <v>80</v>
      </c>
      <c r="C40" s="27"/>
      <c r="D40" s="27"/>
      <c r="E40" s="27"/>
      <c r="F40" s="27"/>
      <c r="G40" s="27"/>
      <c r="H40" s="27"/>
      <c r="I40" s="27"/>
    </row>
    <row r="41" spans="2:9" x14ac:dyDescent="0.3">
      <c r="B41" s="27"/>
      <c r="C41" s="27"/>
      <c r="D41" s="27"/>
      <c r="E41" s="27"/>
      <c r="F41" s="27"/>
      <c r="G41" s="27"/>
      <c r="H41" s="27"/>
      <c r="I41" s="27"/>
    </row>
    <row r="42" spans="2:9" x14ac:dyDescent="0.3">
      <c r="B42" s="27"/>
      <c r="C42" s="27"/>
      <c r="D42" s="27"/>
      <c r="E42" s="27"/>
      <c r="F42" s="27"/>
      <c r="G42" s="27"/>
      <c r="H42" s="27"/>
      <c r="I42" s="27"/>
    </row>
    <row r="43" spans="2:9" x14ac:dyDescent="0.3">
      <c r="B43" s="27"/>
      <c r="C43" s="27"/>
      <c r="D43" s="27"/>
      <c r="E43" s="27"/>
      <c r="F43" s="27"/>
      <c r="G43" s="27"/>
      <c r="H43" s="27"/>
      <c r="I43" s="27"/>
    </row>
  </sheetData>
  <mergeCells count="1">
    <mergeCell ref="B40:I4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Hemp Fiber</vt:lpstr>
      <vt:lpstr>Hemp Oil</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Ripplinger</dc:creator>
  <cp:lastModifiedBy>David Ripplinger</cp:lastModifiedBy>
  <dcterms:created xsi:type="dcterms:W3CDTF">2017-09-15T18:27:18Z</dcterms:created>
  <dcterms:modified xsi:type="dcterms:W3CDTF">2018-08-13T01:05:26Z</dcterms:modified>
</cp:coreProperties>
</file>